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<sst xmlns="http://schemas.openxmlformats.org/spreadsheetml/2006/main" count="244" uniqueCount="179">
  <si>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</si>
  <si>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</si>
  <si>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</si>
  <si>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</si>
  <si>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</si>
  <si>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</si>
  <si>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</si>
  <si>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</si>
  <si>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</si>
  <si>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</si>
  <si>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</si>
  <si>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</si>
  <si>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</si>
  <si>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</si>
  <si>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Петербургское шоссе д. 43</t>
  </si>
  <si>
    <t>Общ. площ.,кв.м.</t>
  </si>
  <si>
    <t>Внутридомовое инженерное оборудование и технические устройства</t>
  </si>
  <si>
    <t>Смена кранов двойной регулировки диаметром прохода 15 мм</t>
  </si>
  <si>
    <t>100 кранов</t>
  </si>
  <si>
    <t>Визуальная проверка (осмотр) газового оборудования</t>
  </si>
  <si>
    <t>1 оборудование</t>
  </si>
  <si>
    <t>Замена автомата</t>
  </si>
  <si>
    <t>1 автомат</t>
  </si>
  <si>
    <t>Замена выключателя</t>
  </si>
  <si>
    <t>1 выключатель</t>
  </si>
  <si>
    <t>1 лампа</t>
  </si>
  <si>
    <t>Смена розеток</t>
  </si>
  <si>
    <t>100 шт.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</si>
  <si>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</si>
  <si>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</si>
  <si>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</si>
  <si>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внутренней отделки стен</t>
  </si>
  <si>
    <t>Осмотр всех элементов рулонных кровель,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</si>
  <si>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</si>
  <si>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</si>
  <si>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</si>
  <si>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Проведение технических осмотров и устранение незначительных неисправностей в системе вентиляции</t>
  </si>
  <si>
    <t>1000 м2  площади помещений</t>
  </si>
  <si>
    <t>Осмотр  электросети, арматуры, электрооборудования на лестничных клетках</t>
  </si>
  <si>
    <t>100 лестничных площадок</t>
  </si>
  <si>
    <t>Осмотр  силовых установок</t>
  </si>
  <si>
    <t>1 электромотор</t>
  </si>
  <si>
    <t>Осмотр внутриквартирных устройств системы центрального отопления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</si>
  <si>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</si>
  <si>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</si>
  <si>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Рабочая проверка системы в целом при диаметре трубопровода до 50 мм</t>
  </si>
  <si>
    <t>100 м трубопровода</t>
  </si>
  <si>
    <t>Окончательная проверка при сдаче системы при диаметре трубопровода до 50 мм</t>
  </si>
  <si>
    <t>Снятие и запись показаний с вычислителя в журнал (узел учета тепловой энергии диаметром 25-40 мм)</t>
  </si>
  <si>
    <t>1 узел учета</t>
  </si>
  <si>
    <t>Съем данных с тепловычислителя с помощью переносного компьютера, адаптера (выборочная метрологическая поверка теплосчетчиков диаметром 25-40 мм)</t>
  </si>
  <si>
    <t>Устранение аварии на внутридомовых инженерных сетях при сроке эксплуатации многоквартирного дома более 70 лет</t>
  </si>
  <si>
    <t>1000 м2  общей площади жилых помещений, оборудованных газовыми плитами (в год)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</si>
  <si>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</si>
  <si>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</si>
  <si>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</si>
  <si>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>100 м2 убираемой  площади</t>
  </si>
  <si>
    <t>Мытье  лестничных площадок и маршей нижних трех этажей (в доме без лифтов и мусоропровода)</t>
  </si>
  <si>
    <t>100 м2  убираемой  площади</t>
  </si>
  <si>
    <t>Подметание в летний период  земельного участка с усовершенствованным покрытием 2 класса</t>
  </si>
  <si>
    <t>1 000 кв.м. территории</t>
  </si>
  <si>
    <t>Уборка газонов от случайного мусора</t>
  </si>
  <si>
    <t>100 000 м2</t>
  </si>
  <si>
    <t>Стрижка газонов</t>
  </si>
  <si>
    <t>на 100 кв.м.</t>
  </si>
  <si>
    <t>Очистка урн от мусора</t>
  </si>
  <si>
    <t>на 100 урн</t>
  </si>
  <si>
    <t>Вырезка сухих ветвей и поросли</t>
  </si>
  <si>
    <t>100 деревьев</t>
  </si>
  <si>
    <t>Сдвижка и подметание снега при отсутствии снегопада на придомовой территории с неусовершенствованным покрытием 2 класса</t>
  </si>
  <si>
    <t>10 000 кв.м. территории</t>
  </si>
  <si>
    <t>Очистка территории с усовершенствованным покрытием 2 класса от наледи с обработкой противогололедными реагентами</t>
  </si>
  <si>
    <t>Очистка кровли от снега, сбивание сосулек (при толщине слоя до 20 см)</t>
  </si>
  <si>
    <t>100 кв.м. кровли</t>
  </si>
  <si>
    <t>Сдвигание свежевыпавшего снега толщиной слоя свыше 2 см в валы или кучи трактором</t>
  </si>
  <si>
    <t>1000 м2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</si>
  <si>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</si>
  <si>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</si>
  <si>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</si>
  <si>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Очистка контейнерной площадки в холодный период</t>
  </si>
  <si>
    <t>Уборка мусора на  контейнерных  площадках</t>
  </si>
  <si>
    <t>Механизированная погрузка твердых бытовых отходов в кузовные мусоровозы и разгрузка мусоровозов на полигоне ТБО</t>
  </si>
  <si>
    <t>100 куб.м.</t>
  </si>
  <si>
    <t>Транспортировка ТБО на мусоровозе 20-24 куб. м (коэффициент уплотнения 2-2,5)</t>
  </si>
  <si>
    <t>100 куб.м/км.</t>
  </si>
  <si>
    <t>Дератизация чердаков и подвалов с применением готовой приманки</t>
  </si>
  <si>
    <t>1000 м2  обрабатываемых  помещений</t>
  </si>
  <si>
    <t>Дезинсекция  подвалов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</si>
  <si>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</si>
  <si>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</si>
  <si>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</si>
  <si>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</si>
  <si>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</si>
  <si>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</si>
  <si>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</si>
  <si>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</si>
  <si>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</si>
  <si>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</si>
  <si>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</si>
  <si>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</si>
  <si>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</si>
  <si>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</si>
  <si>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Водитель автомобиля 4 разряда</t>
  </si>
  <si>
    <t>чел.-час</t>
  </si>
  <si>
    <t>Грузчик 1 разряда</t>
  </si>
  <si>
    <t>Дворник 1 разряда</t>
  </si>
  <si>
    <t>Дезинфектор 3 разряда</t>
  </si>
  <si>
    <t>Каменщик 3 разряда</t>
  </si>
  <si>
    <t>Кровельщик по рулонным кровлям и по кровлям из штучных материалов 4 разряда</t>
  </si>
  <si>
    <t>Монтажник санитарно-технических систем и оборудования 3 разряда</t>
  </si>
  <si>
    <t>Наладчик контрольно-измерительных приборов и автоматики 7 разряда</t>
  </si>
  <si>
    <t>Подсобный рабочий 1 разряда</t>
  </si>
  <si>
    <t>Рабочий зеленого хозяйства 3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</si>
  <si>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</si>
  <si>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</si>
  <si>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</si>
  <si>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</si>
  <si>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</si>
  <si>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</si>
  <si>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</si>
  <si>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</si>
  <si>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</si>
  <si>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</si>
  <si>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</si>
  <si>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</si>
  <si>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3.5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</si>
  <si>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</si>
  <si>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</si>
  <si>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</si>
  <si>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Бензин авиационный Б-70</t>
  </si>
  <si>
    <t>т</t>
  </si>
  <si>
    <t>Вода водопроводная</t>
  </si>
  <si>
    <t>м3</t>
  </si>
  <si>
    <t>Выключатели автоматические</t>
  </si>
  <si>
    <t>шт.</t>
  </si>
  <si>
    <t>Выключатель одноклавишный</t>
  </si>
  <si>
    <t>10 шт.</t>
  </si>
  <si>
    <t>Готовая приманка</t>
  </si>
  <si>
    <t>кг</t>
  </si>
  <si>
    <t>Готовая смесь для уничтожения насекомых (порошок Абсолют Дуст)</t>
  </si>
  <si>
    <t>Клей ALT</t>
  </si>
  <si>
    <t>Краны регулирующие трехходовые  КРТПП, латунные диаметром 15 мм</t>
  </si>
  <si>
    <t>Краски масляные земляные  МА-0115: мумия, сурик  железный</t>
  </si>
  <si>
    <t>Лампа энергосберегающая</t>
  </si>
  <si>
    <t xml:space="preserve">Лен трепаный </t>
  </si>
  <si>
    <t>Мешки полиэтиленовые, 60 л</t>
  </si>
  <si>
    <t>1000 шт.</t>
  </si>
  <si>
    <t>Моющее средство</t>
  </si>
  <si>
    <t>Олифа комбинированная К-3</t>
  </si>
  <si>
    <t>Олифа натуральная</t>
  </si>
  <si>
    <t>Очес льняной</t>
  </si>
  <si>
    <t>Пескосоляная смесь</t>
  </si>
  <si>
    <t>Розетка штепсельная</t>
  </si>
  <si>
    <t xml:space="preserve">Сгоны стальные с муфтой и контргайкой, диаметром 15 мм   </t>
  </si>
  <si>
    <t>Сурик свинцовый тертый</t>
  </si>
  <si>
    <t>Ткань мешочная</t>
  </si>
  <si>
    <t>10 м2</t>
  </si>
  <si>
    <t>Специнвентарь</t>
  </si>
  <si>
    <t>Ведро  оцинкованное, 12 л</t>
  </si>
  <si>
    <t xml:space="preserve">Веник обыкновенный </t>
  </si>
  <si>
    <t>Лом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</si>
  <si>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</si>
  <si>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</si>
  <si>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</si>
  <si>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</si>
  <si>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</si>
  <si>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 xml:space="preserve">Швабра </t>
  </si>
  <si>
    <t>Щетка д/пола 280 мм с черенком на резьбе 1,2 м.</t>
  </si>
  <si>
    <t>Машины/Механизмы</t>
  </si>
  <si>
    <t>Газонокосилка</t>
  </si>
  <si>
    <t>маш.-час</t>
  </si>
  <si>
    <t>Погрузка в мусоровозы 20-24 куб.м</t>
  </si>
  <si>
    <t>маш.-час.</t>
  </si>
  <si>
    <t>Трактор (до 100 л.с.)</t>
  </si>
  <si>
    <t>Транспортировка на мусоровозе 20-24 куб.м</t>
  </si>
  <si>
    <t>Установки для гидравлических испытаний трубопроводов, давление нагнетания низкое 0,1 мПа (1 кгс/см2), высокое 10 мПа (100 кгс/см2)</t>
  </si>
  <si>
    <t xml:space="preserve">Замена лампы накаливания </t>
  </si>
  <si>
    <t>Снятие и запись показаний с электрических квартирных счетчиков (периодичность 2 раза в год)</t>
  </si>
  <si>
    <t>1 эл. счетчик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</si>
</sst>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5" borderId="21" xfId="0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 applyProtection="1">
      <alignment horizontal="center" vertical="center" wrapText="1"/>
      <protection/>
    </xf>
    <xf numFmtId="0" fontId="10" fillId="3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left" vertical="center" wrapText="1"/>
      <protection/>
    </xf>
    <xf numFmtId="0" fontId="0" fillId="0" borderId="26" xfId="0" applyFill="1" applyBorder="1" applyAlignment="1" applyProtection="1">
      <alignment horizontal="right" vertical="center" wrapText="1"/>
      <protection/>
    </xf>
    <xf numFmtId="4" fontId="0" fillId="0" borderId="26" xfId="0" applyNumberFormat="1" applyFill="1" applyBorder="1" applyAlignment="1" applyProtection="1">
      <alignment horizontal="right" vertical="center" wrapText="1"/>
      <protection/>
    </xf>
    <xf numFmtId="4" fontId="0" fillId="0" borderId="27" xfId="0" applyNumberFormat="1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12" fillId="0" borderId="2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6" borderId="31" xfId="0" applyFont="1" applyFill="1" applyBorder="1" applyAlignment="1" applyProtection="1">
      <alignment horizontal="left" vertical="center" wrapText="1"/>
      <protection/>
    </xf>
    <xf numFmtId="0" fontId="5" fillId="36" borderId="32" xfId="0" applyFont="1" applyFill="1" applyBorder="1" applyAlignment="1" applyProtection="1">
      <alignment horizontal="left" vertical="center" wrapText="1"/>
      <protection/>
    </xf>
    <xf numFmtId="4" fontId="5" fillId="36" borderId="32" xfId="0" applyNumberFormat="1" applyFont="1" applyFill="1" applyBorder="1" applyAlignment="1" applyProtection="1">
      <alignment horizontal="left" vertical="center" wrapText="1"/>
      <protection/>
    </xf>
    <xf numFmtId="4" fontId="5" fillId="36" borderId="33" xfId="0" applyNumberFormat="1" applyFont="1" applyFill="1" applyBorder="1" applyAlignment="1" applyProtection="1">
      <alignment horizontal="left" vertical="center" wrapText="1"/>
      <protection/>
    </xf>
    <xf numFmtId="0" fontId="6" fillId="34" borderId="34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7" borderId="35" xfId="0" applyFont="1" applyFill="1" applyBorder="1" applyAlignment="1" applyProtection="1">
      <alignment horizontal="left" vertical="center" wrapText="1"/>
      <protection/>
    </xf>
    <xf numFmtId="0" fontId="6" fillId="37" borderId="36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2" fillId="0" borderId="37" xfId="0" applyFont="1" applyFill="1" applyBorder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4" fontId="12" fillId="0" borderId="38" xfId="0" applyNumberFormat="1" applyFont="1" applyFill="1" applyBorder="1" applyAlignment="1" applyProtection="1">
      <alignment horizontal="left" vertical="center" wrapText="1"/>
      <protection/>
    </xf>
    <xf numFmtId="4" fontId="6" fillId="37" borderId="36" xfId="0" applyNumberFormat="1" applyFont="1" applyFill="1" applyBorder="1" applyAlignment="1" applyProtection="1">
      <alignment horizontal="center" vertical="center" wrapText="1"/>
      <protection/>
    </xf>
    <xf numFmtId="4" fontId="6" fillId="37" borderId="39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8"/>
  <sheetViews>
    <sheetView tabSelected="1" zoomScalePageLayoutView="0" workbookViewId="0" topLeftCell="B39">
      <selection activeCell="B30" sqref="B30:B48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22.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</row>
    <row r="3" spans="2:14" ht="54.75" customHeight="1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13</v>
      </c>
    </row>
    <row r="4" spans="2:14" ht="24.75" customHeight="1">
      <c r="B4" s="33" t="s">
        <v>14</v>
      </c>
      <c r="C4" s="34"/>
      <c r="D4" s="34"/>
      <c r="E4" s="34"/>
      <c r="F4" s="34"/>
      <c r="G4" s="35"/>
      <c r="H4" s="35"/>
      <c r="I4" s="35"/>
      <c r="J4" s="35"/>
      <c r="K4" s="35"/>
      <c r="L4" s="36" t="s">
        <v>15</v>
      </c>
      <c r="M4" s="36"/>
      <c r="N4" s="16">
        <v>1006.1</v>
      </c>
    </row>
    <row r="5" spans="2:14" ht="21.75" customHeight="1">
      <c r="B5" s="37" t="s">
        <v>16</v>
      </c>
      <c r="C5" s="38"/>
      <c r="D5" s="38"/>
      <c r="E5" s="38"/>
      <c r="F5" s="38"/>
      <c r="G5" s="39"/>
      <c r="H5" s="39"/>
      <c r="I5" s="39"/>
      <c r="J5" s="39"/>
      <c r="K5" s="39"/>
      <c r="L5" s="39"/>
      <c r="M5" s="39"/>
      <c r="N5" s="40"/>
    </row>
    <row r="6" spans="2:14" ht="22.5">
      <c r="B6" s="8">
        <v>1</v>
      </c>
      <c r="C6" s="6" t="s">
        <v>17</v>
      </c>
      <c r="D6" s="6" t="s">
        <v>18</v>
      </c>
      <c r="E6" s="10">
        <v>0.02</v>
      </c>
      <c r="F6" s="10">
        <v>1</v>
      </c>
      <c r="G6" s="13">
        <f>9891.8464*E6*F6</f>
        <v>197.836928</v>
      </c>
      <c r="H6" s="13">
        <f>14267.14866808*E6*F6</f>
        <v>285.3429733616</v>
      </c>
      <c r="I6" s="13">
        <f aca="true" t="shared" si="0" ref="I6:I22">0*E6*F6</f>
        <v>0</v>
      </c>
      <c r="J6" s="13">
        <f>8497.0960576*E6*F6</f>
        <v>169.941921152</v>
      </c>
      <c r="K6" s="13">
        <f>4898.413668852*E6*F6</f>
        <v>97.96827337704</v>
      </c>
      <c r="L6" s="13">
        <f>2236.54647104*E6*F6</f>
        <v>44.7309294208</v>
      </c>
      <c r="M6" s="13">
        <f aca="true" t="shared" si="1" ref="M6:M27">SUM(G6:L6)</f>
        <v>795.8210253114399</v>
      </c>
      <c r="N6" s="17">
        <f>IF(N4&gt;0,(M6/$N$4/12),0)</f>
        <v>0.06591632916802835</v>
      </c>
    </row>
    <row r="7" spans="2:14" ht="11.25">
      <c r="B7" s="9">
        <v>2</v>
      </c>
      <c r="C7" s="7" t="s">
        <v>19</v>
      </c>
      <c r="D7" s="7" t="s">
        <v>20</v>
      </c>
      <c r="E7" s="11">
        <v>0</v>
      </c>
      <c r="F7" s="11">
        <v>1</v>
      </c>
      <c r="G7" s="14">
        <f>5.905664*E7*F7</f>
        <v>0</v>
      </c>
      <c r="H7" s="14">
        <f>0*E7*F7</f>
        <v>0</v>
      </c>
      <c r="I7" s="14">
        <f t="shared" si="0"/>
        <v>0</v>
      </c>
      <c r="J7" s="14">
        <f>5.072965376*E7*F7</f>
        <v>0</v>
      </c>
      <c r="K7" s="14">
        <f>1.6467944064*E7*F7</f>
        <v>0</v>
      </c>
      <c r="L7" s="14">
        <f>1.3352706304*E7*F7</f>
        <v>0</v>
      </c>
      <c r="M7" s="14">
        <v>8509.21</v>
      </c>
      <c r="N7" s="18">
        <f>IF(N4&gt;0,(M7/$N$4/12),0)</f>
        <v>0.704801543915449</v>
      </c>
    </row>
    <row r="8" spans="2:14" ht="11.25">
      <c r="B8" s="9">
        <v>3</v>
      </c>
      <c r="C8" s="7" t="s">
        <v>21</v>
      </c>
      <c r="D8" s="7" t="s">
        <v>22</v>
      </c>
      <c r="E8" s="11">
        <v>0</v>
      </c>
      <c r="F8" s="11">
        <v>1</v>
      </c>
      <c r="G8" s="14">
        <f>156.500096*E8*F8</f>
        <v>0</v>
      </c>
      <c r="H8" s="14">
        <f>1688.024928*E8*F8</f>
        <v>0</v>
      </c>
      <c r="I8" s="14">
        <f t="shared" si="0"/>
        <v>0</v>
      </c>
      <c r="J8" s="14">
        <f>134.433582464*E8*F8</f>
        <v>0</v>
      </c>
      <c r="K8" s="14">
        <f>296.8437909696*E8*F8</f>
        <v>0</v>
      </c>
      <c r="L8" s="14">
        <f>35.3846717056*E8*F8</f>
        <v>0</v>
      </c>
      <c r="M8" s="14">
        <f t="shared" si="1"/>
        <v>0</v>
      </c>
      <c r="N8" s="18">
        <f>IF(N4&gt;0,(M8/$N$4/12),0)</f>
        <v>0</v>
      </c>
    </row>
    <row r="9" spans="2:14" ht="11.25">
      <c r="B9" s="9">
        <v>4</v>
      </c>
      <c r="C9" s="7" t="s">
        <v>23</v>
      </c>
      <c r="D9" s="7" t="s">
        <v>24</v>
      </c>
      <c r="E9" s="11">
        <v>0</v>
      </c>
      <c r="F9" s="11">
        <v>1</v>
      </c>
      <c r="G9" s="14">
        <f>24.87328*E9*F9</f>
        <v>0</v>
      </c>
      <c r="H9" s="14">
        <f>63.1822504*E9*F9</f>
        <v>0</v>
      </c>
      <c r="I9" s="14">
        <f t="shared" si="0"/>
        <v>0</v>
      </c>
      <c r="J9" s="14">
        <f>21.36614752*E9*F9</f>
        <v>0</v>
      </c>
      <c r="K9" s="14">
        <f>16.413251688*E9*F9</f>
        <v>0</v>
      </c>
      <c r="L9" s="14">
        <f>5.623848608*E9*F9</f>
        <v>0</v>
      </c>
      <c r="M9" s="14">
        <f t="shared" si="1"/>
        <v>0</v>
      </c>
      <c r="N9" s="18">
        <f>IF(N4&gt;0,(M9/$N$4/12),0)</f>
        <v>0</v>
      </c>
    </row>
    <row r="10" spans="2:14" ht="11.25">
      <c r="B10" s="9">
        <v>5</v>
      </c>
      <c r="C10" s="7" t="s">
        <v>176</v>
      </c>
      <c r="D10" s="7" t="s">
        <v>25</v>
      </c>
      <c r="E10" s="11">
        <v>2</v>
      </c>
      <c r="F10" s="11">
        <v>1</v>
      </c>
      <c r="G10" s="14">
        <f>12.43664*E10*F10</f>
        <v>24.87328</v>
      </c>
      <c r="H10" s="14">
        <f>163.928668*E10*F10</f>
        <v>327.857336</v>
      </c>
      <c r="I10" s="14">
        <f t="shared" si="0"/>
        <v>0</v>
      </c>
      <c r="J10" s="14">
        <f>10.68307376*E10*F10</f>
        <v>21.36614752</v>
      </c>
      <c r="K10" s="14">
        <f>28.057257264*E10*F10</f>
        <v>56.114514528</v>
      </c>
      <c r="L10" s="14">
        <f>2.811924304*E10*F10</f>
        <v>5.623848608</v>
      </c>
      <c r="M10" s="14">
        <f t="shared" si="1"/>
        <v>435.83512665599994</v>
      </c>
      <c r="N10" s="18">
        <f>IF(N4&gt;0,(M10/$N$4/12),0)</f>
        <v>0.03609938762349666</v>
      </c>
    </row>
    <row r="11" spans="2:14" ht="11.25">
      <c r="B11" s="9">
        <v>6</v>
      </c>
      <c r="C11" s="7" t="s">
        <v>26</v>
      </c>
      <c r="D11" s="7" t="s">
        <v>27</v>
      </c>
      <c r="E11" s="11">
        <v>0</v>
      </c>
      <c r="F11" s="11">
        <v>1</v>
      </c>
      <c r="G11" s="14">
        <f>3354.72*E11*F11</f>
        <v>0</v>
      </c>
      <c r="H11" s="14">
        <f>1614.9952*E11*F11</f>
        <v>0</v>
      </c>
      <c r="I11" s="14">
        <f t="shared" si="0"/>
        <v>0</v>
      </c>
      <c r="J11" s="14">
        <f>2881.70448*E11*F11</f>
        <v>0</v>
      </c>
      <c r="K11" s="14">
        <f>1177.712952*E11*F11</f>
        <v>0</v>
      </c>
      <c r="L11" s="14">
        <f>758.502192*E11*F11</f>
        <v>0</v>
      </c>
      <c r="M11" s="14">
        <f t="shared" si="1"/>
        <v>0</v>
      </c>
      <c r="N11" s="18">
        <f>IF(N4&gt;0,(M11/$N$4/12),0)</f>
        <v>0</v>
      </c>
    </row>
    <row r="12" spans="2:14" ht="22.5">
      <c r="B12" s="9">
        <v>7</v>
      </c>
      <c r="C12" s="7" t="s">
        <v>28</v>
      </c>
      <c r="D12" s="7" t="s">
        <v>29</v>
      </c>
      <c r="E12" s="11">
        <v>1.086</v>
      </c>
      <c r="F12" s="11">
        <v>2</v>
      </c>
      <c r="G12" s="14">
        <f>51.05568*E12*F12</f>
        <v>110.89293696000001</v>
      </c>
      <c r="H12" s="14">
        <f aca="true" t="shared" si="2" ref="H12:H21">0*E12*F12</f>
        <v>0</v>
      </c>
      <c r="I12" s="14">
        <f t="shared" si="0"/>
        <v>0</v>
      </c>
      <c r="J12" s="14">
        <f>43.85682912*E12*F12</f>
        <v>95.25703284864001</v>
      </c>
      <c r="K12" s="14">
        <f>14.236876368*E12*F12</f>
        <v>30.922495471296003</v>
      </c>
      <c r="L12" s="14">
        <f>11.543689248*E12*F12</f>
        <v>25.072893046656002</v>
      </c>
      <c r="M12" s="14">
        <f t="shared" si="1"/>
        <v>262.14535832659203</v>
      </c>
      <c r="N12" s="18">
        <f>IF(N4&gt;0,(M12/$N$4/12),0)</f>
        <v>0.021712997244027435</v>
      </c>
    </row>
    <row r="13" spans="2:14" ht="22.5">
      <c r="B13" s="9">
        <v>8</v>
      </c>
      <c r="C13" s="7" t="s">
        <v>30</v>
      </c>
      <c r="D13" s="7" t="s">
        <v>29</v>
      </c>
      <c r="E13" s="11">
        <v>1.086</v>
      </c>
      <c r="F13" s="11">
        <v>2</v>
      </c>
      <c r="G13" s="14">
        <f>407.13632*E13*F13</f>
        <v>884.3000870400001</v>
      </c>
      <c r="H13" s="14">
        <f t="shared" si="2"/>
        <v>0</v>
      </c>
      <c r="I13" s="14">
        <f t="shared" si="0"/>
        <v>0</v>
      </c>
      <c r="J13" s="14">
        <f>349.73009888*E13*F13</f>
        <v>759.61377476736</v>
      </c>
      <c r="K13" s="14">
        <f>113.529962832*E13*F13</f>
        <v>246.58707927110402</v>
      </c>
      <c r="L13" s="14">
        <f>92.053521952*E13*F13</f>
        <v>199.940249679744</v>
      </c>
      <c r="M13" s="14">
        <f t="shared" si="1"/>
        <v>2090.441190758208</v>
      </c>
      <c r="N13" s="18">
        <f>IF(N4&gt;0,(M13/$N$4/12),0)</f>
        <v>0.17314723443314184</v>
      </c>
    </row>
    <row r="14" spans="2:14" ht="22.5">
      <c r="B14" s="9">
        <v>9</v>
      </c>
      <c r="C14" s="7" t="s">
        <v>31</v>
      </c>
      <c r="D14" s="7" t="s">
        <v>29</v>
      </c>
      <c r="E14" s="11">
        <v>0.73</v>
      </c>
      <c r="F14" s="11">
        <v>2</v>
      </c>
      <c r="G14" s="14">
        <f>590.5664*E14*F14</f>
        <v>862.226944</v>
      </c>
      <c r="H14" s="14">
        <f t="shared" si="2"/>
        <v>0</v>
      </c>
      <c r="I14" s="14">
        <f t="shared" si="0"/>
        <v>0</v>
      </c>
      <c r="J14" s="14">
        <f>507.2965376*E14*F14</f>
        <v>740.652944896</v>
      </c>
      <c r="K14" s="14">
        <f>164.67944064*E14*F14</f>
        <v>240.4319833344</v>
      </c>
      <c r="L14" s="14">
        <f>133.52706304*E14*F14</f>
        <v>194.9495120384</v>
      </c>
      <c r="M14" s="14">
        <f t="shared" si="1"/>
        <v>2038.2613842688</v>
      </c>
      <c r="N14" s="18">
        <f>IF(N4&gt;0,(M14/$N$4/12),0)</f>
        <v>0.16882528114077458</v>
      </c>
    </row>
    <row r="15" spans="2:14" ht="11.25">
      <c r="B15" s="9">
        <v>10</v>
      </c>
      <c r="C15" s="7" t="s">
        <v>32</v>
      </c>
      <c r="D15" s="7" t="s">
        <v>33</v>
      </c>
      <c r="E15" s="11">
        <v>0.56</v>
      </c>
      <c r="F15" s="11">
        <v>2</v>
      </c>
      <c r="G15" s="14">
        <f>413.39648*E15*F15</f>
        <v>463.00405760000007</v>
      </c>
      <c r="H15" s="14">
        <f t="shared" si="2"/>
        <v>0</v>
      </c>
      <c r="I15" s="14">
        <f t="shared" si="0"/>
        <v>0</v>
      </c>
      <c r="J15" s="14">
        <f>355.10757632*E15*F15</f>
        <v>397.72048547840006</v>
      </c>
      <c r="K15" s="14">
        <f>115.275608448*E15*F15</f>
        <v>129.10868146176</v>
      </c>
      <c r="L15" s="14">
        <f>93.468944128*E15*F15</f>
        <v>104.68521742336002</v>
      </c>
      <c r="M15" s="14">
        <f t="shared" si="1"/>
        <v>1094.51844196352</v>
      </c>
      <c r="N15" s="18">
        <f>IF(N4&gt;0,(M15/$N$4/12),0)</f>
        <v>0.09065686329751184</v>
      </c>
    </row>
    <row r="16" spans="2:14" ht="22.5">
      <c r="B16" s="9">
        <v>11</v>
      </c>
      <c r="C16" s="7" t="s">
        <v>34</v>
      </c>
      <c r="D16" s="7" t="s">
        <v>35</v>
      </c>
      <c r="E16" s="11">
        <v>0.04</v>
      </c>
      <c r="F16" s="11">
        <v>2</v>
      </c>
      <c r="G16" s="14">
        <f>8858.496*E16*F16</f>
        <v>708.67968</v>
      </c>
      <c r="H16" s="14">
        <f t="shared" si="2"/>
        <v>0</v>
      </c>
      <c r="I16" s="14">
        <f t="shared" si="0"/>
        <v>0</v>
      </c>
      <c r="J16" s="14">
        <f>7609.448064*E16*F16</f>
        <v>608.75584512</v>
      </c>
      <c r="K16" s="14">
        <f>2470.1916096*E16*F16</f>
        <v>197.615328768</v>
      </c>
      <c r="L16" s="14">
        <f>2002.9059456*E16*F16</f>
        <v>160.232475648</v>
      </c>
      <c r="M16" s="14">
        <f t="shared" si="1"/>
        <v>1675.2833295359999</v>
      </c>
      <c r="N16" s="18">
        <f>IF(N4&gt;0,(M16/$N$4/12),0)</f>
        <v>0.138760505047212</v>
      </c>
    </row>
    <row r="17" spans="2:14" ht="22.5">
      <c r="B17" s="9">
        <v>12</v>
      </c>
      <c r="C17" s="7" t="s">
        <v>36</v>
      </c>
      <c r="D17" s="7" t="s">
        <v>37</v>
      </c>
      <c r="E17" s="11">
        <v>0.05</v>
      </c>
      <c r="F17" s="11">
        <v>2</v>
      </c>
      <c r="G17" s="14">
        <f>549.8304*E17*F17</f>
        <v>54.98304000000001</v>
      </c>
      <c r="H17" s="14">
        <f t="shared" si="2"/>
        <v>0</v>
      </c>
      <c r="I17" s="14">
        <f t="shared" si="0"/>
        <v>0</v>
      </c>
      <c r="J17" s="14">
        <f>472.3043136*E17*F17</f>
        <v>47.230431360000004</v>
      </c>
      <c r="K17" s="14">
        <f>153.32020704*E17*F17</f>
        <v>15.332020704000001</v>
      </c>
      <c r="L17" s="14">
        <f>124.31665344*E17*F17</f>
        <v>12.431665344</v>
      </c>
      <c r="M17" s="14">
        <f t="shared" si="1"/>
        <v>129.977157408</v>
      </c>
      <c r="N17" s="18">
        <f>IF(N4&gt;0,(M17/$N$4/12),0)</f>
        <v>0.0107657586561972</v>
      </c>
    </row>
    <row r="18" spans="2:14" ht="22.5">
      <c r="B18" s="9">
        <v>13</v>
      </c>
      <c r="C18" s="7" t="s">
        <v>38</v>
      </c>
      <c r="D18" s="7" t="s">
        <v>39</v>
      </c>
      <c r="E18" s="11">
        <v>0.06</v>
      </c>
      <c r="F18" s="11">
        <v>2</v>
      </c>
      <c r="G18" s="14">
        <f>1328.7744*E18*F18</f>
        <v>159.45292799999999</v>
      </c>
      <c r="H18" s="14">
        <f t="shared" si="2"/>
        <v>0</v>
      </c>
      <c r="I18" s="14">
        <f t="shared" si="0"/>
        <v>0</v>
      </c>
      <c r="J18" s="14">
        <f>1141.4172096*E18*F18</f>
        <v>136.970065152</v>
      </c>
      <c r="K18" s="14">
        <f>370.52874144*E18*F18</f>
        <v>44.463448972799995</v>
      </c>
      <c r="L18" s="14">
        <f>300.43589184*E18*F18</f>
        <v>36.0523070208</v>
      </c>
      <c r="M18" s="14">
        <f t="shared" si="1"/>
        <v>376.9387491456</v>
      </c>
      <c r="N18" s="18">
        <f>IF(N4&gt;0,(M18/$N$4/12),0)</f>
        <v>0.031221113635622702</v>
      </c>
    </row>
    <row r="19" spans="2:14" ht="11.25">
      <c r="B19" s="9">
        <v>14</v>
      </c>
      <c r="C19" s="7" t="s">
        <v>40</v>
      </c>
      <c r="D19" s="7" t="s">
        <v>41</v>
      </c>
      <c r="E19" s="11">
        <v>1</v>
      </c>
      <c r="F19" s="11">
        <v>12</v>
      </c>
      <c r="G19" s="14">
        <f>73.8208*E19*F19</f>
        <v>885.8496</v>
      </c>
      <c r="H19" s="14">
        <f t="shared" si="2"/>
        <v>0</v>
      </c>
      <c r="I19" s="14">
        <f t="shared" si="0"/>
        <v>0</v>
      </c>
      <c r="J19" s="14">
        <f>63.4120672*E19*F19</f>
        <v>760.9448064000001</v>
      </c>
      <c r="K19" s="14">
        <f>20.58493008*E19*F19</f>
        <v>247.01916096</v>
      </c>
      <c r="L19" s="14">
        <f>16.69088288*E19*F19</f>
        <v>200.29059456</v>
      </c>
      <c r="M19" s="14">
        <f t="shared" si="1"/>
        <v>2094.10416192</v>
      </c>
      <c r="N19" s="18">
        <f>IF(N4&gt;0,(M19/$N$4/12),0)</f>
        <v>0.17345063130901503</v>
      </c>
    </row>
    <row r="20" spans="2:14" ht="22.5">
      <c r="B20" s="9">
        <v>15</v>
      </c>
      <c r="C20" s="7" t="s">
        <v>42</v>
      </c>
      <c r="D20" s="7" t="s">
        <v>37</v>
      </c>
      <c r="E20" s="11">
        <v>0.05</v>
      </c>
      <c r="F20" s="11">
        <v>2</v>
      </c>
      <c r="G20" s="14">
        <f>1476.416*E20*F20</f>
        <v>147.6416</v>
      </c>
      <c r="H20" s="14">
        <f t="shared" si="2"/>
        <v>0</v>
      </c>
      <c r="I20" s="14">
        <f t="shared" si="0"/>
        <v>0</v>
      </c>
      <c r="J20" s="14">
        <f>1268.241344*E20*F20</f>
        <v>126.8241344</v>
      </c>
      <c r="K20" s="14">
        <f>411.6986016*E20*F20</f>
        <v>41.169860160000006</v>
      </c>
      <c r="L20" s="14">
        <f>333.8176576*E20*F20</f>
        <v>33.38176576</v>
      </c>
      <c r="M20" s="14">
        <f t="shared" si="1"/>
        <v>349.01736032</v>
      </c>
      <c r="N20" s="18">
        <f>IF(N4&gt;0,(M20/$N$4/12),0)</f>
        <v>0.028908438551502505</v>
      </c>
    </row>
    <row r="21" spans="2:14" ht="34.5">
      <c r="B21" s="9">
        <v>16</v>
      </c>
      <c r="C21" s="7" t="s">
        <v>43</v>
      </c>
      <c r="D21" s="7" t="s">
        <v>44</v>
      </c>
      <c r="E21" s="11">
        <v>0.622</v>
      </c>
      <c r="F21" s="11">
        <v>2</v>
      </c>
      <c r="G21" s="14">
        <f>590.5664*E21*F21</f>
        <v>734.6646016000001</v>
      </c>
      <c r="H21" s="14">
        <f t="shared" si="2"/>
        <v>0</v>
      </c>
      <c r="I21" s="14">
        <f t="shared" si="0"/>
        <v>0</v>
      </c>
      <c r="J21" s="14">
        <f>507.2965376*E21*F21</f>
        <v>631.0768927744</v>
      </c>
      <c r="K21" s="14">
        <f>164.67944064*E21*F21</f>
        <v>204.86122415616</v>
      </c>
      <c r="L21" s="14">
        <f>133.52706304*E21*F21</f>
        <v>166.10766642176</v>
      </c>
      <c r="M21" s="14">
        <f t="shared" si="1"/>
        <v>1736.7103849523203</v>
      </c>
      <c r="N21" s="18">
        <f>IF(N4&gt;0,(M21/$N$4/12),0)</f>
        <v>0.14384839023227647</v>
      </c>
    </row>
    <row r="22" spans="2:14" ht="22.5">
      <c r="B22" s="9">
        <v>17</v>
      </c>
      <c r="C22" s="7" t="s">
        <v>45</v>
      </c>
      <c r="D22" s="7" t="s">
        <v>46</v>
      </c>
      <c r="E22" s="11">
        <v>3.96</v>
      </c>
      <c r="F22" s="11">
        <v>2</v>
      </c>
      <c r="G22" s="14">
        <f>514.380352*E22*F22</f>
        <v>4073.89238784</v>
      </c>
      <c r="H22" s="14">
        <f>4.06859651228*E22*F22</f>
        <v>32.2232843772576</v>
      </c>
      <c r="I22" s="14">
        <f t="shared" si="0"/>
        <v>0</v>
      </c>
      <c r="J22" s="14">
        <f>441.852722368*E22*F22</f>
        <v>3499.47356115456</v>
      </c>
      <c r="K22" s="14">
        <f>144.04525063204*E22*F22</f>
        <v>1140.8383850057567</v>
      </c>
      <c r="L22" s="14">
        <f>116.3013975872*E22*F22</f>
        <v>921.107068890624</v>
      </c>
      <c r="M22" s="14">
        <f t="shared" si="1"/>
        <v>9667.534687268197</v>
      </c>
      <c r="N22" s="18">
        <f>IF(N4&gt;0,(M22/$N$4/12),0)</f>
        <v>0.8007433561332701</v>
      </c>
    </row>
    <row r="23" spans="2:14" ht="22.5">
      <c r="B23" s="9">
        <v>18</v>
      </c>
      <c r="C23" s="7" t="s">
        <v>47</v>
      </c>
      <c r="D23" s="7" t="s">
        <v>46</v>
      </c>
      <c r="E23" s="11">
        <v>3.96</v>
      </c>
      <c r="F23" s="11">
        <v>2</v>
      </c>
      <c r="G23" s="14">
        <f>216.40597166867*E23*F23</f>
        <v>1713.9352956158664</v>
      </c>
      <c r="H23" s="14">
        <f>14.269858*E23*F23</f>
        <v>113.01727536</v>
      </c>
      <c r="I23" s="14">
        <f>57.519*E23*F23</f>
        <v>455.55048</v>
      </c>
      <c r="J23" s="14">
        <f>185.89272966339*E23*F23</f>
        <v>1472.2704189340488</v>
      </c>
      <c r="K23" s="14">
        <f>71.113133899809*E23*F23</f>
        <v>563.2160204864873</v>
      </c>
      <c r="L23" s="14">
        <f>48.929390194287*E23*F23</f>
        <v>387.52077033875304</v>
      </c>
      <c r="M23" s="14">
        <f t="shared" si="1"/>
        <v>4705.5102607351555</v>
      </c>
      <c r="N23" s="18">
        <f>IF(N4&gt;0,(M23/$N$4/12),0)</f>
        <v>0.3897483898829768</v>
      </c>
    </row>
    <row r="24" spans="2:14" ht="22.5">
      <c r="B24" s="9">
        <v>19</v>
      </c>
      <c r="C24" s="7" t="s">
        <v>48</v>
      </c>
      <c r="D24" s="7" t="s">
        <v>49</v>
      </c>
      <c r="E24" s="11">
        <v>0</v>
      </c>
      <c r="F24" s="11">
        <v>12</v>
      </c>
      <c r="G24" s="14">
        <f>13.0912*E24*F24</f>
        <v>0</v>
      </c>
      <c r="H24" s="14">
        <f>0*E24*F24</f>
        <v>0</v>
      </c>
      <c r="I24" s="14">
        <f>0*E24*F24</f>
        <v>0</v>
      </c>
      <c r="J24" s="14">
        <f>11.2453408*E24*F24</f>
        <v>0</v>
      </c>
      <c r="K24" s="14">
        <f>3.65048112*E24*F24</f>
        <v>0</v>
      </c>
      <c r="L24" s="14">
        <f>2.95992032*E24*F24</f>
        <v>0</v>
      </c>
      <c r="M24" s="14">
        <f t="shared" si="1"/>
        <v>0</v>
      </c>
      <c r="N24" s="18">
        <f>IF(N4&gt;0,(M24/$N$4/12),0)</f>
        <v>0</v>
      </c>
    </row>
    <row r="25" spans="2:14" ht="45.75">
      <c r="B25" s="9">
        <v>20</v>
      </c>
      <c r="C25" s="7" t="s">
        <v>50</v>
      </c>
      <c r="D25" s="7" t="s">
        <v>49</v>
      </c>
      <c r="E25" s="11">
        <v>0</v>
      </c>
      <c r="F25" s="11">
        <v>12</v>
      </c>
      <c r="G25" s="14">
        <f>21.73824*E25*F25</f>
        <v>0</v>
      </c>
      <c r="H25" s="14">
        <f>0*E25*F25</f>
        <v>0</v>
      </c>
      <c r="I25" s="14">
        <f>0*E25*F25</f>
        <v>0</v>
      </c>
      <c r="J25" s="14">
        <f>18.67314816*E25*F25</f>
        <v>0</v>
      </c>
      <c r="K25" s="14">
        <f>6.061708224*E25*F25</f>
        <v>0</v>
      </c>
      <c r="L25" s="14">
        <f>4.915016064*E25*F25</f>
        <v>0</v>
      </c>
      <c r="M25" s="14">
        <f t="shared" si="1"/>
        <v>0</v>
      </c>
      <c r="N25" s="18">
        <f>IF(N4&gt;0,(M25/$N$4/12),0)</f>
        <v>0</v>
      </c>
    </row>
    <row r="26" spans="2:14" ht="25.5" customHeight="1">
      <c r="B26" s="9">
        <v>21</v>
      </c>
      <c r="C26" s="7" t="s">
        <v>177</v>
      </c>
      <c r="D26" s="7" t="s">
        <v>178</v>
      </c>
      <c r="E26" s="11">
        <v>18</v>
      </c>
      <c r="F26" s="11">
        <v>2</v>
      </c>
      <c r="G26" s="14">
        <f>13.0912*E26*F26</f>
        <v>471.2832</v>
      </c>
      <c r="H26" s="14">
        <f>0*E26*F26</f>
        <v>0</v>
      </c>
      <c r="I26" s="14">
        <f>0*E26*F26</f>
        <v>0</v>
      </c>
      <c r="J26" s="14">
        <f>11.2453408*E26*F26</f>
        <v>404.83226879999995</v>
      </c>
      <c r="K26" s="14">
        <f>0*E26*F26</f>
        <v>0</v>
      </c>
      <c r="L26" s="14">
        <f>3.1026144*E26*F26</f>
        <v>111.69411840000001</v>
      </c>
      <c r="M26" s="14">
        <f>SUM(G26:L26)</f>
        <v>987.8095871999999</v>
      </c>
      <c r="N26" s="18">
        <f>M26/N4/12</f>
        <v>0.08181837352151873</v>
      </c>
    </row>
    <row r="27" spans="2:14" ht="69">
      <c r="B27" s="9">
        <v>22</v>
      </c>
      <c r="C27" s="7" t="s">
        <v>51</v>
      </c>
      <c r="D27" s="7" t="s">
        <v>52</v>
      </c>
      <c r="E27" s="11">
        <v>0.7</v>
      </c>
      <c r="F27" s="11">
        <v>3</v>
      </c>
      <c r="G27" s="14">
        <f>1961.305024*E27*F27</f>
        <v>4118.7405504</v>
      </c>
      <c r="H27" s="14">
        <f>0*E27*F27</f>
        <v>0</v>
      </c>
      <c r="I27" s="14">
        <f>0*E27*F27</f>
        <v>0</v>
      </c>
      <c r="J27" s="14">
        <f>1684.761015616*E27*F27</f>
        <v>3537.9981327936</v>
      </c>
      <c r="K27" s="14">
        <f>546.9099059424*E27*F27</f>
        <v>1148.51080247904</v>
      </c>
      <c r="L27" s="14">
        <f>443.4510659264*E27*F27</f>
        <v>931.24723844544</v>
      </c>
      <c r="M27" s="14">
        <f>N27*N4*12</f>
        <v>9658.560000000001</v>
      </c>
      <c r="N27" s="18">
        <v>0.8</v>
      </c>
    </row>
    <row r="28" spans="2:14" ht="19.5" customHeight="1">
      <c r="B28" s="41" t="s">
        <v>53</v>
      </c>
      <c r="C28" s="42"/>
      <c r="D28" s="42"/>
      <c r="E28" s="42"/>
      <c r="F28" s="42"/>
      <c r="G28" s="15">
        <f aca="true" t="shared" si="3" ref="G28:N28">SUM(G6:G27)</f>
        <v>15612.257117055866</v>
      </c>
      <c r="H28" s="15">
        <f t="shared" si="3"/>
        <v>758.4408690988575</v>
      </c>
      <c r="I28" s="15">
        <f t="shared" si="3"/>
        <v>455.55048</v>
      </c>
      <c r="J28" s="15">
        <f t="shared" si="3"/>
        <v>13410.928863551011</v>
      </c>
      <c r="K28" s="15">
        <f t="shared" si="3"/>
        <v>4404.159279135844</v>
      </c>
      <c r="L28" s="15">
        <f t="shared" si="3"/>
        <v>3535.068321046337</v>
      </c>
      <c r="M28" s="15">
        <f t="shared" si="3"/>
        <v>46607.67820576983</v>
      </c>
      <c r="N28" s="19">
        <f t="shared" si="3"/>
        <v>3.860424593792021</v>
      </c>
    </row>
    <row r="29" spans="2:14" ht="21.75" customHeight="1">
      <c r="B29" s="37" t="s">
        <v>54</v>
      </c>
      <c r="C29" s="38"/>
      <c r="D29" s="38"/>
      <c r="E29" s="38"/>
      <c r="F29" s="38"/>
      <c r="G29" s="39"/>
      <c r="H29" s="39"/>
      <c r="I29" s="39"/>
      <c r="J29" s="39"/>
      <c r="K29" s="39"/>
      <c r="L29" s="39"/>
      <c r="M29" s="39"/>
      <c r="N29" s="40"/>
    </row>
    <row r="30" spans="2:14" ht="34.5">
      <c r="B30" s="8">
        <v>23</v>
      </c>
      <c r="C30" s="6" t="s">
        <v>55</v>
      </c>
      <c r="D30" s="6" t="s">
        <v>56</v>
      </c>
      <c r="E30" s="10">
        <v>0.675</v>
      </c>
      <c r="F30" s="10">
        <v>48</v>
      </c>
      <c r="G30" s="13">
        <f>117.6706048*E30*F30</f>
        <v>3812.5275955200004</v>
      </c>
      <c r="H30" s="13">
        <f>3.532264038*E30*F30</f>
        <v>114.4453548312</v>
      </c>
      <c r="I30" s="13">
        <f>0*E30*F30</f>
        <v>0</v>
      </c>
      <c r="J30" s="13">
        <f>101.0790495232*E30*F30</f>
        <v>3274.9612045516806</v>
      </c>
      <c r="K30" s="13">
        <f>33.34228775418*E30*F30</f>
        <v>1080.290123235432</v>
      </c>
      <c r="L30" s="13">
        <f>26.60532374528*E30*F30</f>
        <v>862.012489347072</v>
      </c>
      <c r="M30" s="13">
        <f aca="true" t="shared" si="4" ref="M30:M48">SUM(G30:L30)</f>
        <v>9144.236767485385</v>
      </c>
      <c r="N30" s="17">
        <f>IF(N4&gt;0,(M30/$N$4/12),0)</f>
        <v>0.7573995931058365</v>
      </c>
    </row>
    <row r="31" spans="2:14" ht="23.25" thickBot="1">
      <c r="B31" s="9">
        <v>24</v>
      </c>
      <c r="C31" s="7" t="s">
        <v>57</v>
      </c>
      <c r="D31" s="7" t="s">
        <v>58</v>
      </c>
      <c r="E31" s="11">
        <v>0.675</v>
      </c>
      <c r="F31" s="11">
        <v>12</v>
      </c>
      <c r="G31" s="14">
        <f>269.3376*E31*F31</f>
        <v>2181.6345600000004</v>
      </c>
      <c r="H31" s="14">
        <f>55.937388588*E31*F31</f>
        <v>453.09284756280005</v>
      </c>
      <c r="I31" s="14">
        <f>0*E31*F31</f>
        <v>0</v>
      </c>
      <c r="J31" s="14">
        <f>231.3609984*E31*F31</f>
        <v>1874.02408704</v>
      </c>
      <c r="K31" s="14">
        <f>83.4953980482*E31*F31</f>
        <v>676.3127241904201</v>
      </c>
      <c r="L31" s="14">
        <f>60.89723136*E31*F31</f>
        <v>493.267574016</v>
      </c>
      <c r="M31" s="14">
        <f t="shared" si="4"/>
        <v>5678.331792809221</v>
      </c>
      <c r="N31" s="18">
        <f>IF(N4&gt;0,(M31/$N$4/12),0)</f>
        <v>0.4703253315450105</v>
      </c>
    </row>
    <row r="32" spans="2:14" ht="23.25" thickTop="1">
      <c r="B32" s="8">
        <v>25</v>
      </c>
      <c r="C32" s="7" t="s">
        <v>59</v>
      </c>
      <c r="D32" s="7" t="s">
        <v>60</v>
      </c>
      <c r="E32" s="11">
        <v>0.491</v>
      </c>
      <c r="F32" s="11">
        <v>120</v>
      </c>
      <c r="G32" s="14">
        <f>184.282496*E32*F32</f>
        <v>10857.92466432</v>
      </c>
      <c r="H32" s="14">
        <f>3.7282740976*E32*F32</f>
        <v>219.669909830592</v>
      </c>
      <c r="I32" s="14">
        <f>0*E32*F32</f>
        <v>0</v>
      </c>
      <c r="J32" s="14">
        <f>158.298664064*E32*F32</f>
        <v>9326.95728665088</v>
      </c>
      <c r="K32" s="14">
        <f>51.94641512424*E32*F32</f>
        <v>3060.6827791202204</v>
      </c>
      <c r="L32" s="14">
        <f>41.6662723456*E32*F32</f>
        <v>2454.976766602752</v>
      </c>
      <c r="M32" s="14">
        <f t="shared" si="4"/>
        <v>25920.211406524446</v>
      </c>
      <c r="N32" s="18">
        <f>IF(N4&gt;0,(M32/$N$4/12),0)</f>
        <v>2.146921396690558</v>
      </c>
    </row>
    <row r="33" spans="2:14" ht="12" thickBot="1">
      <c r="B33" s="9">
        <v>26</v>
      </c>
      <c r="C33" s="7" t="s">
        <v>61</v>
      </c>
      <c r="D33" s="7" t="s">
        <v>62</v>
      </c>
      <c r="E33" s="11">
        <v>0.01</v>
      </c>
      <c r="F33" s="11">
        <v>90</v>
      </c>
      <c r="G33" s="14">
        <f>14161.061504*E33*F33</f>
        <v>12744.9553536</v>
      </c>
      <c r="H33" s="14">
        <f>94.524071808*E33*F33</f>
        <v>85.0716646272</v>
      </c>
      <c r="I33" s="14">
        <f>0*E33*F33</f>
        <v>0</v>
      </c>
      <c r="J33" s="14">
        <f>12164.351831936*E33*F33</f>
        <v>10947.916648742399</v>
      </c>
      <c r="K33" s="14">
        <f>3962.9906111616*E33*F33</f>
        <v>3566.69155004544</v>
      </c>
      <c r="L33" s="14">
        <f>3201.8160060544*E33*F33</f>
        <v>2881.63440544896</v>
      </c>
      <c r="M33" s="14">
        <f t="shared" si="4"/>
        <v>30226.269622464002</v>
      </c>
      <c r="N33" s="18">
        <f>IF(N4&gt;0,(M33/$N$4/12),0)</f>
        <v>2.503583939838982</v>
      </c>
    </row>
    <row r="34" spans="2:14" ht="12" thickTop="1">
      <c r="B34" s="8">
        <v>27</v>
      </c>
      <c r="C34" s="7" t="s">
        <v>63</v>
      </c>
      <c r="D34" s="7" t="s">
        <v>64</v>
      </c>
      <c r="E34" s="11">
        <v>10</v>
      </c>
      <c r="F34" s="11">
        <v>3</v>
      </c>
      <c r="G34" s="14">
        <f>128.29376*E34*F34</f>
        <v>3848.8127999999997</v>
      </c>
      <c r="H34" s="14">
        <f>99.0458720224*E34*F34</f>
        <v>2971.376160672</v>
      </c>
      <c r="I34" s="14">
        <f>44.838675*E34*F34</f>
        <v>1345.16025</v>
      </c>
      <c r="J34" s="14">
        <f>110.20433984*E34*F34</f>
        <v>3306.1301952000003</v>
      </c>
      <c r="K34" s="14">
        <f>57.35739702936*E34*F34</f>
        <v>1720.7219108808001</v>
      </c>
      <c r="L34" s="14">
        <f>29.007219136*E34*F34</f>
        <v>870.2165740799999</v>
      </c>
      <c r="M34" s="14">
        <f t="shared" si="4"/>
        <v>14062.4178908328</v>
      </c>
      <c r="N34" s="18">
        <f>IF(N4&gt;0,(M34/$N$4/12),0)</f>
        <v>1.1647631026432759</v>
      </c>
    </row>
    <row r="35" spans="2:14" ht="12" thickBot="1">
      <c r="B35" s="9">
        <v>28</v>
      </c>
      <c r="C35" s="7" t="s">
        <v>65</v>
      </c>
      <c r="D35" s="7" t="s">
        <v>66</v>
      </c>
      <c r="E35" s="11">
        <v>0.02</v>
      </c>
      <c r="F35" s="11">
        <v>120</v>
      </c>
      <c r="G35" s="14">
        <f>877.27296*E35*F35</f>
        <v>2105.455104</v>
      </c>
      <c r="H35" s="14">
        <f>5.907754488*E35*F35</f>
        <v>14.178610771199999</v>
      </c>
      <c r="I35" s="14">
        <f>0*E35*F35</f>
        <v>0</v>
      </c>
      <c r="J35" s="14">
        <f>753.57747264*E35*F35</f>
        <v>1808.5859343359998</v>
      </c>
      <c r="K35" s="14">
        <f>245.5137280692*E35*F35</f>
        <v>589.23294736608</v>
      </c>
      <c r="L35" s="14">
        <f>198.351416256*E35*F35</f>
        <v>476.0433990144</v>
      </c>
      <c r="M35" s="14">
        <f t="shared" si="4"/>
        <v>4993.49599548768</v>
      </c>
      <c r="N35" s="18">
        <f>IF(N4&gt;0,(M35/$N$4/12),0)</f>
        <v>0.4136016959453732</v>
      </c>
    </row>
    <row r="36" spans="2:14" ht="12" thickTop="1">
      <c r="B36" s="8">
        <v>29</v>
      </c>
      <c r="C36" s="7" t="s">
        <v>67</v>
      </c>
      <c r="D36" s="7" t="s">
        <v>68</v>
      </c>
      <c r="E36" s="11">
        <v>0.04</v>
      </c>
      <c r="F36" s="11">
        <v>1</v>
      </c>
      <c r="G36" s="14">
        <f>9818.4*E36*F36</f>
        <v>392.736</v>
      </c>
      <c r="H36" s="14">
        <f>0*E36*F36</f>
        <v>0</v>
      </c>
      <c r="I36" s="14">
        <f>0*E36*F36</f>
        <v>0</v>
      </c>
      <c r="J36" s="14">
        <f>8434.0056*E36*F36</f>
        <v>337.360224</v>
      </c>
      <c r="K36" s="14">
        <f>2737.86084*E36*F36</f>
        <v>109.51443359999999</v>
      </c>
      <c r="L36" s="14">
        <f>2219.94024*E36*F36</f>
        <v>88.7976096</v>
      </c>
      <c r="M36" s="14">
        <f t="shared" si="4"/>
        <v>928.4082672</v>
      </c>
      <c r="N36" s="18">
        <f>IF(N4&gt;0,(M36/$N$4/12),0)</f>
        <v>0.07689827611569426</v>
      </c>
    </row>
    <row r="37" spans="2:14" ht="34.5" thickBot="1">
      <c r="B37" s="9">
        <v>30</v>
      </c>
      <c r="C37" s="7" t="s">
        <v>69</v>
      </c>
      <c r="D37" s="7" t="s">
        <v>70</v>
      </c>
      <c r="E37" s="11">
        <v>0.049</v>
      </c>
      <c r="F37" s="11">
        <v>20</v>
      </c>
      <c r="G37" s="14">
        <f>3677.925504*E37*F37</f>
        <v>3604.36699392</v>
      </c>
      <c r="H37" s="14">
        <f>68.9833664*E37*F37</f>
        <v>67.603699072</v>
      </c>
      <c r="I37" s="14">
        <f>0*E37*F37</f>
        <v>0</v>
      </c>
      <c r="J37" s="14">
        <f>3159.338007936*E37*F37</f>
        <v>3096.15124777728</v>
      </c>
      <c r="K37" s="14">
        <f>1035.9370317504*E37*F37</f>
        <v>1015.2182911153919</v>
      </c>
      <c r="L37" s="14">
        <f>831.5789564544*E37*F37</f>
        <v>814.9473773253121</v>
      </c>
      <c r="M37" s="14">
        <f t="shared" si="4"/>
        <v>8598.287609209983</v>
      </c>
      <c r="N37" s="18">
        <f>IF(N4&gt;0,(M37/$N$4/12),0)</f>
        <v>0.712179671438391</v>
      </c>
    </row>
    <row r="38" spans="2:14" ht="34.5" thickTop="1">
      <c r="B38" s="8">
        <v>31</v>
      </c>
      <c r="C38" s="7" t="s">
        <v>71</v>
      </c>
      <c r="D38" s="7" t="s">
        <v>70</v>
      </c>
      <c r="E38" s="11">
        <v>0.025</v>
      </c>
      <c r="F38" s="11">
        <v>10</v>
      </c>
      <c r="G38" s="14">
        <f>138487.744*E38*F38</f>
        <v>34621.936</v>
      </c>
      <c r="H38" s="14">
        <f>68909.0133964*E38*F38</f>
        <v>17227.2533491</v>
      </c>
      <c r="I38" s="14">
        <f>0*E38*F38</f>
        <v>0</v>
      </c>
      <c r="J38" s="14">
        <f>118960.972096*E38*F38</f>
        <v>29740.243024000003</v>
      </c>
      <c r="K38" s="14">
        <f>48953.65942386*E38*F38</f>
        <v>12238.414855965</v>
      </c>
      <c r="L38" s="14">
        <f>31312.0789184*E38*F38</f>
        <v>7828.019729600001</v>
      </c>
      <c r="M38" s="14">
        <f t="shared" si="4"/>
        <v>101655.866958665</v>
      </c>
      <c r="N38" s="18">
        <f>IF(N4&gt;0,(M38/$N$4/12),0)</f>
        <v>8.419960487581172</v>
      </c>
    </row>
    <row r="39" spans="2:14" ht="23.25" thickBot="1">
      <c r="B39" s="9">
        <v>32</v>
      </c>
      <c r="C39" s="7" t="s">
        <v>72</v>
      </c>
      <c r="D39" s="7" t="s">
        <v>73</v>
      </c>
      <c r="E39" s="11">
        <v>3</v>
      </c>
      <c r="F39" s="11">
        <v>2</v>
      </c>
      <c r="G39" s="14">
        <f>430.36032*E39*F39</f>
        <v>2582.16192</v>
      </c>
      <c r="H39" s="14">
        <f>0*E39*F39</f>
        <v>0</v>
      </c>
      <c r="I39" s="14">
        <f>0*E39*F39</f>
        <v>0</v>
      </c>
      <c r="J39" s="14">
        <f>369.67951488*E39*F39</f>
        <v>2218.07708928</v>
      </c>
      <c r="K39" s="14">
        <f>120.005975232*E39*F39</f>
        <v>720.035851392</v>
      </c>
      <c r="L39" s="14">
        <f>97.304468352*E39*F39</f>
        <v>583.826810112</v>
      </c>
      <c r="M39" s="14">
        <f t="shared" si="4"/>
        <v>6104.101670784</v>
      </c>
      <c r="N39" s="18">
        <f>IF(N4&gt;0,(M39/$N$4/12),0)</f>
        <v>0.5055910339250571</v>
      </c>
    </row>
    <row r="40" spans="2:14" ht="23.25" thickTop="1">
      <c r="B40" s="8">
        <v>33</v>
      </c>
      <c r="C40" s="7" t="s">
        <v>74</v>
      </c>
      <c r="D40" s="7" t="s">
        <v>75</v>
      </c>
      <c r="E40" s="11">
        <v>4</v>
      </c>
      <c r="F40" s="11">
        <v>3</v>
      </c>
      <c r="G40" s="14">
        <f>0*E40*F40</f>
        <v>0</v>
      </c>
      <c r="H40" s="14">
        <f>0*E40*F40</f>
        <v>0</v>
      </c>
      <c r="I40" s="14">
        <f>50.218652*E40*F40</f>
        <v>602.623824</v>
      </c>
      <c r="J40" s="14">
        <f>16.821941312*E40*F40</f>
        <v>201.863295744</v>
      </c>
      <c r="K40" s="14">
        <f>10.0560889968*E40*F40</f>
        <v>120.6730679616</v>
      </c>
      <c r="L40" s="14">
        <f>4.4277542848*E40*F40</f>
        <v>53.1330514176</v>
      </c>
      <c r="M40" s="14">
        <f t="shared" si="4"/>
        <v>978.2932391232</v>
      </c>
      <c r="N40" s="18">
        <f>IF(N4&gt;0,(M40/$N$4/12),0)</f>
        <v>0.0810301526623596</v>
      </c>
    </row>
    <row r="41" spans="2:14" ht="23.25" thickBot="1">
      <c r="B41" s="9">
        <v>34</v>
      </c>
      <c r="C41" s="7" t="s">
        <v>76</v>
      </c>
      <c r="D41" s="7" t="s">
        <v>77</v>
      </c>
      <c r="E41" s="11">
        <v>0.052</v>
      </c>
      <c r="F41" s="11">
        <v>140</v>
      </c>
      <c r="G41" s="14">
        <f>152.281344*E41*F41</f>
        <v>1108.60818432</v>
      </c>
      <c r="H41" s="14">
        <f>0.663257232*E41*F41</f>
        <v>4.828512648959999</v>
      </c>
      <c r="I41" s="14">
        <f>0*E41*F41</f>
        <v>0</v>
      </c>
      <c r="J41" s="14">
        <f>130.809674496*E41*F41</f>
        <v>952.2944303308801</v>
      </c>
      <c r="K41" s="14">
        <f>42.5631413592*E41*F41</f>
        <v>309.859669094976</v>
      </c>
      <c r="L41" s="14">
        <f>34.4308118784*E41*F41</f>
        <v>250.656310474752</v>
      </c>
      <c r="M41" s="14">
        <f t="shared" si="4"/>
        <v>2626.247106869568</v>
      </c>
      <c r="N41" s="18">
        <f>IF(N4&gt;0,(M41/$N$4/12),0)</f>
        <v>0.2175270108065441</v>
      </c>
    </row>
    <row r="42" spans="2:14" ht="23.25" thickTop="1">
      <c r="B42" s="8">
        <v>35</v>
      </c>
      <c r="C42" s="7" t="s">
        <v>78</v>
      </c>
      <c r="D42" s="7" t="s">
        <v>77</v>
      </c>
      <c r="E42" s="11">
        <v>0.052</v>
      </c>
      <c r="F42" s="11">
        <v>140</v>
      </c>
      <c r="G42" s="14">
        <f>28.138944*E42*F42</f>
        <v>204.85151231999998</v>
      </c>
      <c r="H42" s="14">
        <f>0.33344237984*E42*F42</f>
        <v>2.4274605252352</v>
      </c>
      <c r="I42" s="14">
        <f>0*E42*F42</f>
        <v>0</v>
      </c>
      <c r="J42" s="14">
        <f>24.171352896*E42*F42</f>
        <v>175.96744908287997</v>
      </c>
      <c r="K42" s="14">
        <f>7.896560891376*E42*F42</f>
        <v>57.48696328921728</v>
      </c>
      <c r="L42" s="14">
        <f>6.3622152384*E42*F42</f>
        <v>46.316926935552</v>
      </c>
      <c r="M42" s="14">
        <f t="shared" si="4"/>
        <v>487.05031215288443</v>
      </c>
      <c r="N42" s="18">
        <f>IF(N4&gt;0,(M42/$N$4/12),0)</f>
        <v>0.04034144320916446</v>
      </c>
    </row>
    <row r="43" spans="2:14" ht="12" thickBot="1">
      <c r="B43" s="9">
        <v>36</v>
      </c>
      <c r="C43" s="7" t="s">
        <v>79</v>
      </c>
      <c r="D43" s="7" t="s">
        <v>77</v>
      </c>
      <c r="E43" s="11">
        <v>0.04</v>
      </c>
      <c r="F43" s="11">
        <v>80</v>
      </c>
      <c r="G43" s="14">
        <f>662.0928*E43*F43</f>
        <v>2118.69696</v>
      </c>
      <c r="H43" s="14">
        <f>1.403382024*E43*F43</f>
        <v>4.4908224768</v>
      </c>
      <c r="I43" s="14">
        <f>0*E43*F43</f>
        <v>0</v>
      </c>
      <c r="J43" s="14">
        <f>568.7377152*E43*F43</f>
        <v>1819.9606886400002</v>
      </c>
      <c r="K43" s="14">
        <f>184.8350845836*E43*F43</f>
        <v>591.47227066752</v>
      </c>
      <c r="L43" s="14">
        <f>149.69918208*E43*F43</f>
        <v>479.03738265600003</v>
      </c>
      <c r="M43" s="14">
        <f t="shared" si="4"/>
        <v>5013.6581244403205</v>
      </c>
      <c r="N43" s="18">
        <f>IF(N4&gt;0,(M43/$N$4/12),0)</f>
        <v>0.4152716864162211</v>
      </c>
    </row>
    <row r="44" spans="2:14" ht="12" thickTop="1">
      <c r="B44" s="8">
        <v>37</v>
      </c>
      <c r="C44" s="7" t="s">
        <v>80</v>
      </c>
      <c r="D44" s="7" t="s">
        <v>64</v>
      </c>
      <c r="E44" s="11">
        <v>0.07</v>
      </c>
      <c r="F44" s="11">
        <v>40</v>
      </c>
      <c r="G44" s="14">
        <f>268.147584*E44*F44</f>
        <v>750.8132352000001</v>
      </c>
      <c r="H44" s="14">
        <f>1.5754011968*E44*F44</f>
        <v>4.41112335104</v>
      </c>
      <c r="I44" s="14">
        <f>0*E44*F44</f>
        <v>0</v>
      </c>
      <c r="J44" s="14">
        <f>230.338774656*E44*F44</f>
        <v>644.9485690368</v>
      </c>
      <c r="K44" s="14">
        <f>75.00926397792*E44*F44</f>
        <v>210.02593913817603</v>
      </c>
      <c r="L44" s="14">
        <f>60.6281687424*E44*F44</f>
        <v>169.75887247872004</v>
      </c>
      <c r="M44" s="14">
        <f t="shared" si="4"/>
        <v>1779.9577392047363</v>
      </c>
      <c r="N44" s="18">
        <f>IF(N4&gt;0,(M44/$N$4/12),0)</f>
        <v>0.14743048563800287</v>
      </c>
    </row>
    <row r="45" spans="2:14" ht="34.5" thickBot="1">
      <c r="B45" s="9">
        <v>38</v>
      </c>
      <c r="C45" s="7" t="s">
        <v>81</v>
      </c>
      <c r="D45" s="7" t="s">
        <v>82</v>
      </c>
      <c r="E45" s="11">
        <v>0.008</v>
      </c>
      <c r="F45" s="11">
        <v>365</v>
      </c>
      <c r="G45" s="14">
        <f>1457.1297792*E45*F45</f>
        <v>4254.818955264</v>
      </c>
      <c r="H45" s="14">
        <f>0*E45*F45</f>
        <v>0</v>
      </c>
      <c r="I45" s="14">
        <f>3879.7501408*E45*F45</f>
        <v>11328.870411135998</v>
      </c>
      <c r="J45" s="14">
        <f>1844.39642112*E45*F45</f>
        <v>5385.6375496704</v>
      </c>
      <c r="K45" s="14">
        <f>1077.191451168*E45*F45</f>
        <v>3145.39903741056</v>
      </c>
      <c r="L45" s="14">
        <f>485.469186048*E45*F45</f>
        <v>1417.57002326016</v>
      </c>
      <c r="M45" s="14">
        <f>N45*N4*12</f>
        <v>24629.328</v>
      </c>
      <c r="N45" s="18">
        <v>2.04</v>
      </c>
    </row>
    <row r="46" spans="2:14" ht="23.25" thickTop="1">
      <c r="B46" s="8">
        <v>39</v>
      </c>
      <c r="C46" s="7" t="s">
        <v>83</v>
      </c>
      <c r="D46" s="7" t="s">
        <v>84</v>
      </c>
      <c r="E46" s="11">
        <v>0.008</v>
      </c>
      <c r="F46" s="11">
        <v>365</v>
      </c>
      <c r="G46" s="14">
        <f>15.9954048*E46*F46</f>
        <v>46.70658201599999</v>
      </c>
      <c r="H46" s="14">
        <f>0*E46*F46</f>
        <v>0</v>
      </c>
      <c r="I46" s="14">
        <f>42.5893252*E46*F46</f>
        <v>124.360829584</v>
      </c>
      <c r="J46" s="14">
        <f>20.24656128*E46*F46</f>
        <v>59.1199589376</v>
      </c>
      <c r="K46" s="14">
        <f>11.824693692*E46*F46</f>
        <v>34.52810558064</v>
      </c>
      <c r="L46" s="14">
        <f>5.329158912*E46*F46</f>
        <v>15.561144023039999</v>
      </c>
      <c r="M46" s="14">
        <f t="shared" si="4"/>
        <v>280.27662014128</v>
      </c>
      <c r="N46" s="18">
        <f>IF(N4&gt;0,(M46/$N$4/12),0)</f>
        <v>0.023214774884974986</v>
      </c>
    </row>
    <row r="47" spans="2:14" ht="34.5" thickBot="1">
      <c r="B47" s="9">
        <v>40</v>
      </c>
      <c r="C47" s="7" t="s">
        <v>85</v>
      </c>
      <c r="D47" s="7" t="s">
        <v>86</v>
      </c>
      <c r="E47" s="11">
        <v>0.062</v>
      </c>
      <c r="F47" s="11">
        <v>2</v>
      </c>
      <c r="G47" s="14">
        <f>189.8224*E47*F47</f>
        <v>23.537977599999998</v>
      </c>
      <c r="H47" s="14">
        <f>246.853524832*E47*F47</f>
        <v>30.609837079168</v>
      </c>
      <c r="I47" s="14">
        <f>0*E47*F47</f>
        <v>0</v>
      </c>
      <c r="J47" s="14">
        <f>163.0574416*E47*F47</f>
        <v>20.2191227584</v>
      </c>
      <c r="K47" s="14">
        <f>89.9600049648*E47*F47</f>
        <v>11.155040615635201</v>
      </c>
      <c r="L47" s="14">
        <f>42.91884464*E47*F47</f>
        <v>5.3219367353600004</v>
      </c>
      <c r="M47" s="14">
        <f t="shared" si="4"/>
        <v>90.8439147885632</v>
      </c>
      <c r="N47" s="18">
        <f>IF(N4&gt;0,(M47/$N$4/12),0)</f>
        <v>0.007524427226299837</v>
      </c>
    </row>
    <row r="48" spans="2:14" ht="34.5" thickTop="1">
      <c r="B48" s="8">
        <v>41</v>
      </c>
      <c r="C48" s="7" t="s">
        <v>87</v>
      </c>
      <c r="D48" s="7" t="s">
        <v>86</v>
      </c>
      <c r="E48" s="11">
        <v>0.062</v>
      </c>
      <c r="F48" s="11">
        <v>2</v>
      </c>
      <c r="G48" s="14">
        <f>522.33888*E48*F48</f>
        <v>64.77002112</v>
      </c>
      <c r="H48" s="14">
        <f>329.254928*E48*F48</f>
        <v>40.827611072</v>
      </c>
      <c r="I48" s="14">
        <f>0*E48*F48</f>
        <v>0</v>
      </c>
      <c r="J48" s="14">
        <f>448.68909792*E48*F48</f>
        <v>55.63744814208</v>
      </c>
      <c r="K48" s="14">
        <f>195.042435888*E48*F48</f>
        <v>24.185262050112</v>
      </c>
      <c r="L48" s="14">
        <f>118.100820768*E48*F48</f>
        <v>14.644501775232001</v>
      </c>
      <c r="M48" s="14">
        <f t="shared" si="4"/>
        <v>200.064844159424</v>
      </c>
      <c r="N48" s="18">
        <f>IF(N4&gt;0,(M48/$N$4/12),0)</f>
        <v>0.016570987323942618</v>
      </c>
    </row>
    <row r="49" spans="2:14" ht="13.5" thickBot="1">
      <c r="B49" s="41" t="s">
        <v>53</v>
      </c>
      <c r="C49" s="42"/>
      <c r="D49" s="42"/>
      <c r="E49" s="42"/>
      <c r="F49" s="42"/>
      <c r="G49" s="15">
        <f aca="true" t="shared" si="5" ref="G49:N49">SUM(G30:G48)</f>
        <v>85325.31441919999</v>
      </c>
      <c r="H49" s="15">
        <f t="shared" si="5"/>
        <v>21240.286963620198</v>
      </c>
      <c r="I49" s="15">
        <f t="shared" si="5"/>
        <v>13401.015314719998</v>
      </c>
      <c r="J49" s="15">
        <f t="shared" si="5"/>
        <v>75246.05545392128</v>
      </c>
      <c r="K49" s="15">
        <f t="shared" si="5"/>
        <v>29281.900822719224</v>
      </c>
      <c r="L49" s="15">
        <f t="shared" si="5"/>
        <v>19805.74288490291</v>
      </c>
      <c r="M49" s="15">
        <f t="shared" si="5"/>
        <v>243397.34788234252</v>
      </c>
      <c r="N49" s="19">
        <f t="shared" si="5"/>
        <v>20.160135496996865</v>
      </c>
    </row>
    <row r="50" spans="2:14" ht="27.75" customHeight="1">
      <c r="B50" s="43" t="s">
        <v>88</v>
      </c>
      <c r="C50" s="44"/>
      <c r="D50" s="44"/>
      <c r="E50" s="44"/>
      <c r="F50" s="44"/>
      <c r="G50" s="53">
        <f aca="true" t="shared" si="6" ref="G50:N50">G28+G49</f>
        <v>100937.57153625585</v>
      </c>
      <c r="H50" s="53">
        <f t="shared" si="6"/>
        <v>21998.727832719054</v>
      </c>
      <c r="I50" s="53">
        <f t="shared" si="6"/>
        <v>13856.565794719998</v>
      </c>
      <c r="J50" s="53">
        <f t="shared" si="6"/>
        <v>88656.98431747229</v>
      </c>
      <c r="K50" s="53">
        <f t="shared" si="6"/>
        <v>33686.060101855066</v>
      </c>
      <c r="L50" s="53">
        <f t="shared" si="6"/>
        <v>23340.811205949245</v>
      </c>
      <c r="M50" s="53">
        <f t="shared" si="6"/>
        <v>290005.0260881124</v>
      </c>
      <c r="N50" s="54">
        <f t="shared" si="6"/>
        <v>24.020560090788887</v>
      </c>
    </row>
    <row r="54" spans="3:14" ht="18">
      <c r="C54" s="45" t="s">
        <v>89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3:11" ht="19.5" customHeight="1">
      <c r="C55" s="46" t="s">
        <v>90</v>
      </c>
      <c r="D55" s="34"/>
      <c r="E55" s="47">
        <f>G50</f>
        <v>100937.57153625585</v>
      </c>
      <c r="F55" s="34"/>
      <c r="G55" s="46" t="s">
        <v>91</v>
      </c>
      <c r="H55" s="34"/>
      <c r="I55" s="34"/>
      <c r="J55" s="47">
        <f>J50</f>
        <v>88656.98431747229</v>
      </c>
      <c r="K55" s="34"/>
    </row>
    <row r="56" spans="3:11" ht="19.5" customHeight="1">
      <c r="C56" s="46" t="s">
        <v>92</v>
      </c>
      <c r="D56" s="34"/>
      <c r="E56" s="47">
        <f>H50</f>
        <v>21998.727832719054</v>
      </c>
      <c r="F56" s="34"/>
      <c r="G56" s="46" t="s">
        <v>93</v>
      </c>
      <c r="H56" s="34"/>
      <c r="I56" s="34"/>
      <c r="J56" s="47">
        <f>K50</f>
        <v>33686.060101855066</v>
      </c>
      <c r="K56" s="34"/>
    </row>
    <row r="57" spans="3:11" ht="19.5" customHeight="1">
      <c r="C57" s="46" t="s">
        <v>94</v>
      </c>
      <c r="D57" s="34"/>
      <c r="E57" s="47">
        <f>I50</f>
        <v>13856.565794719998</v>
      </c>
      <c r="F57" s="34"/>
      <c r="G57" s="46" t="s">
        <v>95</v>
      </c>
      <c r="H57" s="34"/>
      <c r="I57" s="34"/>
      <c r="J57" s="47">
        <f>L50</f>
        <v>23340.811205949245</v>
      </c>
      <c r="K57" s="34"/>
    </row>
    <row r="58" spans="3:11" ht="13.5">
      <c r="C58" s="5"/>
      <c r="E58" s="20"/>
      <c r="G58" s="46" t="s">
        <v>96</v>
      </c>
      <c r="H58" s="34"/>
      <c r="I58" s="34"/>
      <c r="J58" s="47">
        <f>M50</f>
        <v>290005.0260881124</v>
      </c>
      <c r="K58" s="34"/>
    </row>
  </sheetData>
  <sheetProtection formatCells="0" formatColumns="0" formatRows="0" insertColumns="0" insertRows="0" insertHyperlinks="0" deleteColumns="0" deleteRows="0" sort="0" autoFilter="0" pivotTables="0"/>
  <mergeCells count="23">
    <mergeCell ref="G58:I58"/>
    <mergeCell ref="J58:K58"/>
    <mergeCell ref="C56:D56"/>
    <mergeCell ref="E56:F56"/>
    <mergeCell ref="G56:I56"/>
    <mergeCell ref="J56:K56"/>
    <mergeCell ref="C57:D57"/>
    <mergeCell ref="E57:F57"/>
    <mergeCell ref="G57:I57"/>
    <mergeCell ref="J57:K57"/>
    <mergeCell ref="B49:F49"/>
    <mergeCell ref="B50:F50"/>
    <mergeCell ref="C54:N54"/>
    <mergeCell ref="C55:D55"/>
    <mergeCell ref="E55:F55"/>
    <mergeCell ref="G55:I55"/>
    <mergeCell ref="J55:K55"/>
    <mergeCell ref="B1:M1"/>
    <mergeCell ref="B4:K4"/>
    <mergeCell ref="L4:M4"/>
    <mergeCell ref="B5:N5"/>
    <mergeCell ref="B28:F28"/>
    <mergeCell ref="B29:N29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B1">
      <selection activeCell="B70" sqref="B70:G70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48" t="s">
        <v>97</v>
      </c>
      <c r="C1" s="48"/>
      <c r="D1" s="48"/>
      <c r="E1" s="48"/>
      <c r="F1" s="48"/>
      <c r="G1" s="48"/>
    </row>
    <row r="3" spans="1:7" ht="27">
      <c r="A3" s="21"/>
      <c r="B3" s="22" t="s">
        <v>1</v>
      </c>
      <c r="C3" s="22" t="s">
        <v>98</v>
      </c>
      <c r="D3" s="22" t="s">
        <v>99</v>
      </c>
      <c r="E3" s="22" t="s">
        <v>4</v>
      </c>
      <c r="F3" s="22" t="s">
        <v>100</v>
      </c>
      <c r="G3" s="23" t="s">
        <v>12</v>
      </c>
    </row>
    <row r="4" spans="2:7" ht="15.75">
      <c r="B4" s="49" t="s">
        <v>101</v>
      </c>
      <c r="C4" s="49"/>
      <c r="D4" s="49"/>
      <c r="E4" s="49"/>
      <c r="F4" s="49"/>
      <c r="G4" s="49"/>
    </row>
    <row r="5" spans="2:7" ht="11.25">
      <c r="B5" s="24">
        <v>1</v>
      </c>
      <c r="C5" s="26" t="s">
        <v>102</v>
      </c>
      <c r="D5" s="26" t="s">
        <v>103</v>
      </c>
      <c r="E5" s="27">
        <v>16.6732</v>
      </c>
      <c r="F5" s="28">
        <v>147.6416</v>
      </c>
      <c r="G5" s="29">
        <f aca="true" t="shared" si="0" ref="G5:G27">E5*F5</f>
        <v>2461.6579251200005</v>
      </c>
    </row>
    <row r="6" spans="2:7" ht="11.25">
      <c r="B6" s="25">
        <v>2</v>
      </c>
      <c r="C6" s="7" t="s">
        <v>104</v>
      </c>
      <c r="D6" s="7" t="s">
        <v>103</v>
      </c>
      <c r="E6" s="12">
        <v>16.6732</v>
      </c>
      <c r="F6" s="14">
        <v>110.3488</v>
      </c>
      <c r="G6" s="30">
        <f t="shared" si="0"/>
        <v>1839.8676121600001</v>
      </c>
    </row>
    <row r="7" spans="2:7" ht="11.25">
      <c r="B7" s="25">
        <v>3</v>
      </c>
      <c r="C7" s="7" t="s">
        <v>105</v>
      </c>
      <c r="D7" s="7" t="s">
        <v>103</v>
      </c>
      <c r="E7" s="12">
        <v>617.2936</v>
      </c>
      <c r="F7" s="14">
        <v>110.3488</v>
      </c>
      <c r="G7" s="30">
        <f t="shared" si="0"/>
        <v>68117.60800768</v>
      </c>
    </row>
    <row r="8" spans="2:7" ht="11.25">
      <c r="B8" s="25">
        <v>4</v>
      </c>
      <c r="C8" s="7" t="s">
        <v>106</v>
      </c>
      <c r="D8" s="7" t="s">
        <v>103</v>
      </c>
      <c r="E8" s="12">
        <v>0.67456</v>
      </c>
      <c r="F8" s="14">
        <v>130.912</v>
      </c>
      <c r="G8" s="30">
        <f t="shared" si="0"/>
        <v>88.30799872000001</v>
      </c>
    </row>
    <row r="9" spans="2:7" ht="11.25">
      <c r="B9" s="25">
        <v>5</v>
      </c>
      <c r="C9" s="7" t="s">
        <v>107</v>
      </c>
      <c r="D9" s="7" t="s">
        <v>103</v>
      </c>
      <c r="E9" s="12">
        <v>7.602</v>
      </c>
      <c r="F9" s="14">
        <v>130.912</v>
      </c>
      <c r="G9" s="30">
        <f t="shared" si="0"/>
        <v>995.193024</v>
      </c>
    </row>
    <row r="10" spans="2:7" ht="22.5">
      <c r="B10" s="25">
        <v>6</v>
      </c>
      <c r="C10" s="7" t="s">
        <v>108</v>
      </c>
      <c r="D10" s="7" t="s">
        <v>103</v>
      </c>
      <c r="E10" s="12">
        <v>3.136</v>
      </c>
      <c r="F10" s="14">
        <v>147.6416</v>
      </c>
      <c r="G10" s="30">
        <f t="shared" si="0"/>
        <v>463.00405760000007</v>
      </c>
    </row>
    <row r="11" spans="2:7" ht="22.5">
      <c r="B11" s="25">
        <v>7</v>
      </c>
      <c r="C11" s="7" t="s">
        <v>109</v>
      </c>
      <c r="D11" s="7" t="s">
        <v>103</v>
      </c>
      <c r="E11" s="12">
        <v>0</v>
      </c>
      <c r="F11" s="14">
        <v>130.912</v>
      </c>
      <c r="G11" s="30">
        <f t="shared" si="0"/>
        <v>0</v>
      </c>
    </row>
    <row r="12" spans="2:7" ht="22.5">
      <c r="B12" s="25">
        <v>8</v>
      </c>
      <c r="C12" s="7" t="s">
        <v>110</v>
      </c>
      <c r="D12" s="7" t="s">
        <v>103</v>
      </c>
      <c r="E12" s="12">
        <v>0</v>
      </c>
      <c r="F12" s="14">
        <v>217.38240000000002</v>
      </c>
      <c r="G12" s="30">
        <f t="shared" si="0"/>
        <v>0</v>
      </c>
    </row>
    <row r="13" spans="2:7" ht="11.25">
      <c r="B13" s="25">
        <v>9</v>
      </c>
      <c r="C13" s="7" t="s">
        <v>111</v>
      </c>
      <c r="D13" s="7" t="s">
        <v>103</v>
      </c>
      <c r="E13" s="12">
        <v>23.4</v>
      </c>
      <c r="F13" s="14">
        <v>110.3488</v>
      </c>
      <c r="G13" s="30">
        <f t="shared" si="0"/>
        <v>2582.1619199999996</v>
      </c>
    </row>
    <row r="14" spans="2:7" ht="11.25">
      <c r="B14" s="25">
        <v>10</v>
      </c>
      <c r="C14" s="7" t="s">
        <v>112</v>
      </c>
      <c r="D14" s="7" t="s">
        <v>103</v>
      </c>
      <c r="E14" s="12">
        <v>32.4</v>
      </c>
      <c r="F14" s="14">
        <v>130.912</v>
      </c>
      <c r="G14" s="30">
        <f t="shared" si="0"/>
        <v>4241.5488</v>
      </c>
    </row>
    <row r="15" spans="2:7" ht="22.5">
      <c r="B15" s="25">
        <v>11</v>
      </c>
      <c r="C15" s="7" t="s">
        <v>113</v>
      </c>
      <c r="D15" s="7" t="s">
        <v>103</v>
      </c>
      <c r="E15" s="12">
        <v>50.0742</v>
      </c>
      <c r="F15" s="14">
        <v>119.7056</v>
      </c>
      <c r="G15" s="30">
        <f t="shared" si="0"/>
        <v>5994.16215552</v>
      </c>
    </row>
    <row r="16" spans="2:7" ht="22.5">
      <c r="B16" s="25">
        <v>12</v>
      </c>
      <c r="C16" s="7" t="s">
        <v>114</v>
      </c>
      <c r="D16" s="7" t="s">
        <v>103</v>
      </c>
      <c r="E16" s="12">
        <v>5.84</v>
      </c>
      <c r="F16" s="14">
        <v>147.6416</v>
      </c>
      <c r="G16" s="30">
        <f t="shared" si="0"/>
        <v>862.226944</v>
      </c>
    </row>
    <row r="17" spans="2:7" ht="22.5">
      <c r="B17" s="25">
        <v>13</v>
      </c>
      <c r="C17" s="7" t="s">
        <v>115</v>
      </c>
      <c r="D17" s="7" t="s">
        <v>103</v>
      </c>
      <c r="E17" s="12">
        <v>5.418</v>
      </c>
      <c r="F17" s="14">
        <v>147.6416</v>
      </c>
      <c r="G17" s="30">
        <f t="shared" si="0"/>
        <v>799.9221888000001</v>
      </c>
    </row>
    <row r="18" spans="2:7" ht="11.25">
      <c r="B18" s="25">
        <v>14</v>
      </c>
      <c r="C18" s="7" t="s">
        <v>116</v>
      </c>
      <c r="D18" s="7" t="s">
        <v>103</v>
      </c>
      <c r="E18" s="12">
        <v>0.42</v>
      </c>
      <c r="F18" s="14">
        <v>130.912</v>
      </c>
      <c r="G18" s="30">
        <f t="shared" si="0"/>
        <v>54.98304</v>
      </c>
    </row>
    <row r="19" spans="2:7" ht="11.25">
      <c r="B19" s="25">
        <v>15</v>
      </c>
      <c r="C19" s="7" t="s">
        <v>117</v>
      </c>
      <c r="D19" s="7" t="s">
        <v>103</v>
      </c>
      <c r="E19" s="12">
        <v>0.74</v>
      </c>
      <c r="F19" s="14">
        <v>119.7056</v>
      </c>
      <c r="G19" s="30">
        <f t="shared" si="0"/>
        <v>88.582144</v>
      </c>
    </row>
    <row r="20" spans="2:7" ht="11.25">
      <c r="B20" s="25">
        <v>16</v>
      </c>
      <c r="C20" s="7" t="s">
        <v>118</v>
      </c>
      <c r="D20" s="7" t="s">
        <v>103</v>
      </c>
      <c r="E20" s="12">
        <v>11.58959997</v>
      </c>
      <c r="F20" s="14">
        <v>130.912</v>
      </c>
      <c r="G20" s="30">
        <f t="shared" si="0"/>
        <v>1517.2177112726401</v>
      </c>
    </row>
    <row r="21" spans="2:7" ht="11.25">
      <c r="B21" s="25">
        <v>17</v>
      </c>
      <c r="C21" s="7" t="s">
        <v>119</v>
      </c>
      <c r="D21" s="7" t="s">
        <v>103</v>
      </c>
      <c r="E21" s="12">
        <v>22.331</v>
      </c>
      <c r="F21" s="14">
        <v>147.6416</v>
      </c>
      <c r="G21" s="30">
        <f t="shared" si="0"/>
        <v>3296.9845696</v>
      </c>
    </row>
    <row r="22" spans="2:7" ht="11.25">
      <c r="B22" s="25">
        <v>18</v>
      </c>
      <c r="C22" s="7" t="s">
        <v>120</v>
      </c>
      <c r="D22" s="7" t="s">
        <v>103</v>
      </c>
      <c r="E22" s="12">
        <v>11.58959997</v>
      </c>
      <c r="F22" s="14">
        <v>170.2016</v>
      </c>
      <c r="G22" s="30">
        <f t="shared" si="0"/>
        <v>1972.5684582539523</v>
      </c>
    </row>
    <row r="23" spans="2:7" ht="11.25">
      <c r="B23" s="25">
        <v>19</v>
      </c>
      <c r="C23" s="7" t="s">
        <v>121</v>
      </c>
      <c r="D23" s="7" t="s">
        <v>103</v>
      </c>
      <c r="E23" s="12">
        <v>11.58959997</v>
      </c>
      <c r="F23" s="14">
        <v>198.2848</v>
      </c>
      <c r="G23" s="30">
        <f t="shared" si="0"/>
        <v>2298.041512131456</v>
      </c>
    </row>
    <row r="24" spans="2:7" ht="22.5">
      <c r="B24" s="25">
        <v>20</v>
      </c>
      <c r="C24" s="7" t="s">
        <v>122</v>
      </c>
      <c r="D24" s="7" t="s">
        <v>123</v>
      </c>
      <c r="E24" s="12">
        <v>5.418</v>
      </c>
      <c r="F24" s="14">
        <v>170.2016</v>
      </c>
      <c r="G24" s="30">
        <f t="shared" si="0"/>
        <v>922.1522688000001</v>
      </c>
    </row>
    <row r="25" spans="2:7" ht="22.5">
      <c r="B25" s="25">
        <v>21</v>
      </c>
      <c r="C25" s="7" t="s">
        <v>124</v>
      </c>
      <c r="D25" s="7" t="s">
        <v>103</v>
      </c>
      <c r="E25" s="12">
        <v>0.19</v>
      </c>
      <c r="F25" s="14">
        <v>130.912</v>
      </c>
      <c r="G25" s="30">
        <f t="shared" si="0"/>
        <v>24.87328</v>
      </c>
    </row>
    <row r="26" spans="2:7" ht="22.5">
      <c r="B26" s="25">
        <v>22</v>
      </c>
      <c r="C26" s="7" t="s">
        <v>125</v>
      </c>
      <c r="D26" s="7" t="s">
        <v>103</v>
      </c>
      <c r="E26" s="12">
        <v>0</v>
      </c>
      <c r="F26" s="14">
        <v>139.20000000000002</v>
      </c>
      <c r="G26" s="30">
        <f t="shared" si="0"/>
        <v>0</v>
      </c>
    </row>
    <row r="27" spans="2:7" ht="22.5">
      <c r="B27" s="25">
        <v>23</v>
      </c>
      <c r="C27" s="7" t="s">
        <v>126</v>
      </c>
      <c r="D27" s="7" t="s">
        <v>103</v>
      </c>
      <c r="E27" s="12">
        <v>12.498</v>
      </c>
      <c r="F27" s="14">
        <v>147.6416</v>
      </c>
      <c r="G27" s="30">
        <f t="shared" si="0"/>
        <v>1845.2247168000001</v>
      </c>
    </row>
    <row r="28" spans="2:7" ht="11.25">
      <c r="B28" s="50" t="s">
        <v>127</v>
      </c>
      <c r="C28" s="51"/>
      <c r="D28" s="51"/>
      <c r="E28" s="51"/>
      <c r="F28" s="52"/>
      <c r="G28" s="31">
        <f>SUM(G5:G27)</f>
        <v>100466.28833445805</v>
      </c>
    </row>
    <row r="29" spans="2:7" ht="15.75">
      <c r="B29" s="49" t="s">
        <v>128</v>
      </c>
      <c r="C29" s="49"/>
      <c r="D29" s="49"/>
      <c r="E29" s="49"/>
      <c r="F29" s="49"/>
      <c r="G29" s="49"/>
    </row>
    <row r="30" spans="2:7" ht="11.25">
      <c r="B30" s="24">
        <v>24</v>
      </c>
      <c r="C30" s="26" t="s">
        <v>129</v>
      </c>
      <c r="D30" s="26" t="s">
        <v>130</v>
      </c>
      <c r="E30" s="27">
        <v>0.024</v>
      </c>
      <c r="F30" s="28">
        <v>84422.31010799999</v>
      </c>
      <c r="G30" s="29">
        <f aca="true" t="shared" si="1" ref="G30:G50">E30*F30</f>
        <v>2026.135442592</v>
      </c>
    </row>
    <row r="31" spans="2:7" ht="11.25">
      <c r="B31" s="25">
        <v>25</v>
      </c>
      <c r="C31" s="7" t="s">
        <v>131</v>
      </c>
      <c r="D31" s="7" t="s">
        <v>132</v>
      </c>
      <c r="E31" s="12">
        <v>8.82</v>
      </c>
      <c r="F31" s="14">
        <v>28.539716</v>
      </c>
      <c r="G31" s="30">
        <f t="shared" si="1"/>
        <v>251.72029512</v>
      </c>
    </row>
    <row r="32" spans="2:7" ht="11.25">
      <c r="B32" s="25">
        <v>26</v>
      </c>
      <c r="C32" s="7" t="s">
        <v>133</v>
      </c>
      <c r="D32" s="7" t="s">
        <v>134</v>
      </c>
      <c r="E32" s="12">
        <v>0</v>
      </c>
      <c r="F32" s="14">
        <v>1688.0249279999998</v>
      </c>
      <c r="G32" s="30">
        <f t="shared" si="1"/>
        <v>0</v>
      </c>
    </row>
    <row r="33" spans="2:7" ht="11.25">
      <c r="B33" s="25">
        <v>27</v>
      </c>
      <c r="C33" s="7" t="s">
        <v>135</v>
      </c>
      <c r="D33" s="7" t="s">
        <v>136</v>
      </c>
      <c r="E33" s="12">
        <v>0</v>
      </c>
      <c r="F33" s="14">
        <v>631.8225039999999</v>
      </c>
      <c r="G33" s="30">
        <f t="shared" si="1"/>
        <v>0</v>
      </c>
    </row>
    <row r="34" spans="2:7" ht="11.25">
      <c r="B34" s="25">
        <v>28</v>
      </c>
      <c r="C34" s="7" t="s">
        <v>137</v>
      </c>
      <c r="D34" s="7" t="s">
        <v>138</v>
      </c>
      <c r="E34" s="12">
        <v>0.103292</v>
      </c>
      <c r="F34" s="14">
        <v>77.64399999999999</v>
      </c>
      <c r="G34" s="30">
        <f t="shared" si="1"/>
        <v>8.020004047999999</v>
      </c>
    </row>
    <row r="35" spans="2:7" ht="11.25">
      <c r="B35" s="25">
        <v>29</v>
      </c>
      <c r="C35" s="7" t="s">
        <v>139</v>
      </c>
      <c r="D35" s="7" t="s">
        <v>138</v>
      </c>
      <c r="E35" s="12">
        <v>0.22444</v>
      </c>
      <c r="F35" s="14">
        <v>181.90879999999999</v>
      </c>
      <c r="G35" s="30">
        <f t="shared" si="1"/>
        <v>40.827611071999996</v>
      </c>
    </row>
    <row r="36" spans="2:7" ht="11.25">
      <c r="B36" s="25">
        <v>30</v>
      </c>
      <c r="C36" s="7" t="s">
        <v>140</v>
      </c>
      <c r="D36" s="7" t="s">
        <v>138</v>
      </c>
      <c r="E36" s="12">
        <v>0.025792</v>
      </c>
      <c r="F36" s="14">
        <v>875.846504</v>
      </c>
      <c r="G36" s="30">
        <f t="shared" si="1"/>
        <v>22.589833031168</v>
      </c>
    </row>
    <row r="37" spans="2:7" ht="22.5">
      <c r="B37" s="25">
        <v>31</v>
      </c>
      <c r="C37" s="7" t="s">
        <v>141</v>
      </c>
      <c r="D37" s="7" t="s">
        <v>134</v>
      </c>
      <c r="E37" s="12">
        <v>2</v>
      </c>
      <c r="F37" s="14">
        <v>128.90013199999999</v>
      </c>
      <c r="G37" s="30">
        <f t="shared" si="1"/>
        <v>257.80026399999997</v>
      </c>
    </row>
    <row r="38" spans="2:7" ht="11.25">
      <c r="B38" s="25">
        <v>32</v>
      </c>
      <c r="C38" s="7" t="s">
        <v>142</v>
      </c>
      <c r="D38" s="7" t="s">
        <v>130</v>
      </c>
      <c r="E38" s="12">
        <v>0.000396</v>
      </c>
      <c r="F38" s="14">
        <v>41865.855548</v>
      </c>
      <c r="G38" s="30">
        <f t="shared" si="1"/>
        <v>16.578878797008</v>
      </c>
    </row>
    <row r="39" spans="2:7" ht="11.25">
      <c r="B39" s="25">
        <v>33</v>
      </c>
      <c r="C39" s="7" t="s">
        <v>143</v>
      </c>
      <c r="D39" s="7" t="s">
        <v>134</v>
      </c>
      <c r="E39" s="12">
        <v>2</v>
      </c>
      <c r="F39" s="14">
        <v>163.928668</v>
      </c>
      <c r="G39" s="30">
        <f t="shared" si="1"/>
        <v>327.857336</v>
      </c>
    </row>
    <row r="40" spans="2:7" ht="11.25">
      <c r="B40" s="25">
        <v>34</v>
      </c>
      <c r="C40" s="7" t="s">
        <v>144</v>
      </c>
      <c r="D40" s="7" t="s">
        <v>138</v>
      </c>
      <c r="E40" s="12">
        <v>0.004</v>
      </c>
      <c r="F40" s="14">
        <v>94.91424399999998</v>
      </c>
      <c r="G40" s="30">
        <f t="shared" si="1"/>
        <v>0.3796569759999999</v>
      </c>
    </row>
    <row r="41" spans="2:7" ht="11.25">
      <c r="B41" s="25">
        <v>35</v>
      </c>
      <c r="C41" s="7" t="s">
        <v>145</v>
      </c>
      <c r="D41" s="7" t="s">
        <v>146</v>
      </c>
      <c r="E41" s="12">
        <v>0.2841416</v>
      </c>
      <c r="F41" s="14">
        <v>3938.5029919999997</v>
      </c>
      <c r="G41" s="30">
        <f t="shared" si="1"/>
        <v>1119.092541751667</v>
      </c>
    </row>
    <row r="42" spans="2:7" ht="11.25">
      <c r="B42" s="25">
        <v>36</v>
      </c>
      <c r="C42" s="7" t="s">
        <v>147</v>
      </c>
      <c r="D42" s="7" t="s">
        <v>138</v>
      </c>
      <c r="E42" s="12">
        <v>1.62</v>
      </c>
      <c r="F42" s="14">
        <v>182.862712</v>
      </c>
      <c r="G42" s="30">
        <f t="shared" si="1"/>
        <v>296.23759344</v>
      </c>
    </row>
    <row r="43" spans="2:7" ht="11.25">
      <c r="B43" s="25">
        <v>37</v>
      </c>
      <c r="C43" s="7" t="s">
        <v>148</v>
      </c>
      <c r="D43" s="7" t="s">
        <v>130</v>
      </c>
      <c r="E43" s="12">
        <v>0.0001584</v>
      </c>
      <c r="F43" s="14">
        <v>37770.278743999996</v>
      </c>
      <c r="G43" s="30">
        <f t="shared" si="1"/>
        <v>5.9828121530496</v>
      </c>
    </row>
    <row r="44" spans="2:7" ht="11.25">
      <c r="B44" s="25">
        <v>38</v>
      </c>
      <c r="C44" s="7" t="s">
        <v>149</v>
      </c>
      <c r="D44" s="7" t="s">
        <v>138</v>
      </c>
      <c r="E44" s="12">
        <v>0.008</v>
      </c>
      <c r="F44" s="14">
        <v>111.607704</v>
      </c>
      <c r="G44" s="30">
        <f t="shared" si="1"/>
        <v>0.892861632</v>
      </c>
    </row>
    <row r="45" spans="2:7" ht="11.25">
      <c r="B45" s="25">
        <v>39</v>
      </c>
      <c r="C45" s="7" t="s">
        <v>150</v>
      </c>
      <c r="D45" s="7" t="s">
        <v>138</v>
      </c>
      <c r="E45" s="12">
        <v>0.1584</v>
      </c>
      <c r="F45" s="14">
        <v>60.994907999999995</v>
      </c>
      <c r="G45" s="30">
        <f t="shared" si="1"/>
        <v>9.6615934272</v>
      </c>
    </row>
    <row r="46" spans="2:7" ht="11.25">
      <c r="B46" s="25">
        <v>40</v>
      </c>
      <c r="C46" s="7" t="s">
        <v>151</v>
      </c>
      <c r="D46" s="7" t="s">
        <v>130</v>
      </c>
      <c r="E46" s="12">
        <v>0.375</v>
      </c>
      <c r="F46" s="14">
        <v>45861.55998399999</v>
      </c>
      <c r="G46" s="30">
        <f t="shared" si="1"/>
        <v>17198.084993999997</v>
      </c>
    </row>
    <row r="47" spans="2:7" ht="11.25">
      <c r="B47" s="25">
        <v>41</v>
      </c>
      <c r="C47" s="7" t="s">
        <v>152</v>
      </c>
      <c r="D47" s="7" t="s">
        <v>27</v>
      </c>
      <c r="E47" s="12">
        <v>0</v>
      </c>
      <c r="F47" s="14">
        <v>1614.9951999999998</v>
      </c>
      <c r="G47" s="30">
        <f t="shared" si="1"/>
        <v>0</v>
      </c>
    </row>
    <row r="48" spans="2:7" ht="11.25">
      <c r="B48" s="25">
        <v>42</v>
      </c>
      <c r="C48" s="7" t="s">
        <v>153</v>
      </c>
      <c r="D48" s="7" t="s">
        <v>134</v>
      </c>
      <c r="E48" s="12">
        <v>2</v>
      </c>
      <c r="F48" s="14">
        <v>12.25666</v>
      </c>
      <c r="G48" s="30">
        <f t="shared" si="1"/>
        <v>24.51332</v>
      </c>
    </row>
    <row r="49" spans="2:7" ht="11.25">
      <c r="B49" s="25">
        <v>43</v>
      </c>
      <c r="C49" s="7" t="s">
        <v>154</v>
      </c>
      <c r="D49" s="7" t="s">
        <v>130</v>
      </c>
      <c r="E49" s="12">
        <v>1.6E-05</v>
      </c>
      <c r="F49" s="14">
        <v>109804.4221</v>
      </c>
      <c r="G49" s="30">
        <f t="shared" si="1"/>
        <v>1.7568707536</v>
      </c>
    </row>
    <row r="50" spans="2:7" ht="11.25">
      <c r="B50" s="25">
        <v>44</v>
      </c>
      <c r="C50" s="7" t="s">
        <v>155</v>
      </c>
      <c r="D50" s="7" t="s">
        <v>156</v>
      </c>
      <c r="E50" s="12">
        <v>0.405</v>
      </c>
      <c r="F50" s="14">
        <v>265.697768</v>
      </c>
      <c r="G50" s="30">
        <f t="shared" si="1"/>
        <v>107.60759604</v>
      </c>
    </row>
    <row r="51" spans="2:7" ht="11.25">
      <c r="B51" s="50" t="s">
        <v>127</v>
      </c>
      <c r="C51" s="51"/>
      <c r="D51" s="51"/>
      <c r="E51" s="51"/>
      <c r="F51" s="52"/>
      <c r="G51" s="31">
        <f>SUM(G30:G50)</f>
        <v>21715.73950483369</v>
      </c>
    </row>
    <row r="52" spans="2:7" ht="15.75">
      <c r="B52" s="49" t="s">
        <v>157</v>
      </c>
      <c r="C52" s="49"/>
      <c r="D52" s="49"/>
      <c r="E52" s="49"/>
      <c r="F52" s="49"/>
      <c r="G52" s="49"/>
    </row>
    <row r="53" spans="2:7" ht="11.25">
      <c r="B53" s="24">
        <v>45</v>
      </c>
      <c r="C53" s="26" t="s">
        <v>158</v>
      </c>
      <c r="D53" s="26" t="s">
        <v>134</v>
      </c>
      <c r="E53" s="27">
        <v>0.02511</v>
      </c>
      <c r="F53" s="28">
        <v>117.331176</v>
      </c>
      <c r="G53" s="29">
        <f aca="true" t="shared" si="2" ref="G53:G62">E53*F53</f>
        <v>2.94618582936</v>
      </c>
    </row>
    <row r="54" spans="2:7" ht="11.25">
      <c r="B54" s="25">
        <v>46</v>
      </c>
      <c r="C54" s="7" t="s">
        <v>159</v>
      </c>
      <c r="D54" s="7" t="s">
        <v>134</v>
      </c>
      <c r="E54" s="12">
        <v>0.1944</v>
      </c>
      <c r="F54" s="14">
        <v>100.04983999999999</v>
      </c>
      <c r="G54" s="30">
        <f t="shared" si="2"/>
        <v>19.449688895999998</v>
      </c>
    </row>
    <row r="55" spans="2:7" ht="11.25">
      <c r="B55" s="25">
        <v>47</v>
      </c>
      <c r="C55" s="7" t="s">
        <v>160</v>
      </c>
      <c r="D55" s="7" t="s">
        <v>134</v>
      </c>
      <c r="E55" s="12">
        <v>0.025</v>
      </c>
      <c r="F55" s="14">
        <v>336.1652439999999</v>
      </c>
      <c r="G55" s="30">
        <f t="shared" si="2"/>
        <v>8.404131099999999</v>
      </c>
    </row>
    <row r="56" spans="2:7" ht="11.25">
      <c r="B56" s="25">
        <v>48</v>
      </c>
      <c r="C56" s="7" t="s">
        <v>161</v>
      </c>
      <c r="D56" s="7" t="s">
        <v>134</v>
      </c>
      <c r="E56" s="12">
        <v>0.032728</v>
      </c>
      <c r="F56" s="14">
        <v>138.42816</v>
      </c>
      <c r="G56" s="30">
        <f t="shared" si="2"/>
        <v>4.53047682048</v>
      </c>
    </row>
    <row r="57" spans="2:7" ht="11.25">
      <c r="B57" s="25">
        <v>49</v>
      </c>
      <c r="C57" s="7" t="s">
        <v>162</v>
      </c>
      <c r="D57" s="7" t="s">
        <v>134</v>
      </c>
      <c r="E57" s="12">
        <v>0.1696</v>
      </c>
      <c r="F57" s="14">
        <v>138.42816</v>
      </c>
      <c r="G57" s="30">
        <f t="shared" si="2"/>
        <v>23.477415936</v>
      </c>
    </row>
    <row r="58" spans="2:7" ht="11.25">
      <c r="B58" s="25">
        <v>50</v>
      </c>
      <c r="C58" s="7" t="s">
        <v>163</v>
      </c>
      <c r="D58" s="7" t="s">
        <v>134</v>
      </c>
      <c r="E58" s="12">
        <v>3.43904</v>
      </c>
      <c r="F58" s="14">
        <v>63.66807999999999</v>
      </c>
      <c r="G58" s="30">
        <f t="shared" si="2"/>
        <v>218.95707384319996</v>
      </c>
    </row>
    <row r="59" spans="2:7" ht="11.25">
      <c r="B59" s="25">
        <v>51</v>
      </c>
      <c r="C59" s="7" t="s">
        <v>164</v>
      </c>
      <c r="D59" s="7" t="s">
        <v>134</v>
      </c>
      <c r="E59" s="12">
        <v>0.020648</v>
      </c>
      <c r="F59" s="14">
        <v>127.33615999999998</v>
      </c>
      <c r="G59" s="30">
        <f t="shared" si="2"/>
        <v>2.6292370316799993</v>
      </c>
    </row>
    <row r="60" spans="2:7" ht="11.25">
      <c r="B60" s="25">
        <v>52</v>
      </c>
      <c r="C60" s="7" t="s">
        <v>165</v>
      </c>
      <c r="D60" s="7" t="s">
        <v>134</v>
      </c>
      <c r="E60" s="12">
        <v>0.0081</v>
      </c>
      <c r="F60" s="14">
        <v>77.31124</v>
      </c>
      <c r="G60" s="30">
        <f t="shared" si="2"/>
        <v>0.626221044</v>
      </c>
    </row>
    <row r="61" spans="2:7" ht="11.25">
      <c r="B61" s="25">
        <v>53</v>
      </c>
      <c r="C61" s="7" t="s">
        <v>166</v>
      </c>
      <c r="D61" s="7" t="s">
        <v>134</v>
      </c>
      <c r="E61" s="12">
        <v>0.00891</v>
      </c>
      <c r="F61" s="14">
        <v>52.964299999999994</v>
      </c>
      <c r="G61" s="30">
        <f t="shared" si="2"/>
        <v>0.4719119129999999</v>
      </c>
    </row>
    <row r="62" spans="2:7" ht="11.25">
      <c r="B62" s="25">
        <v>54</v>
      </c>
      <c r="C62" s="7" t="s">
        <v>167</v>
      </c>
      <c r="D62" s="7" t="s">
        <v>134</v>
      </c>
      <c r="E62" s="12">
        <v>0.00891</v>
      </c>
      <c r="F62" s="14">
        <v>167.89960399999998</v>
      </c>
      <c r="G62" s="30">
        <f t="shared" si="2"/>
        <v>1.4959854716399998</v>
      </c>
    </row>
    <row r="63" spans="2:7" ht="11.25">
      <c r="B63" s="50" t="s">
        <v>127</v>
      </c>
      <c r="C63" s="51"/>
      <c r="D63" s="51"/>
      <c r="E63" s="51"/>
      <c r="F63" s="52"/>
      <c r="G63" s="31">
        <f>SUM(G53:G62)</f>
        <v>282.9883278853599</v>
      </c>
    </row>
    <row r="64" spans="2:7" ht="15.75">
      <c r="B64" s="49" t="s">
        <v>168</v>
      </c>
      <c r="C64" s="49"/>
      <c r="D64" s="49"/>
      <c r="E64" s="49"/>
      <c r="F64" s="49"/>
      <c r="G64" s="49"/>
    </row>
    <row r="65" spans="2:7" ht="11.25">
      <c r="B65" s="24">
        <v>55</v>
      </c>
      <c r="C65" s="26" t="s">
        <v>169</v>
      </c>
      <c r="D65" s="26" t="s">
        <v>170</v>
      </c>
      <c r="E65" s="27">
        <v>22.5</v>
      </c>
      <c r="F65" s="28">
        <v>59.7849</v>
      </c>
      <c r="G65" s="29">
        <f>E65*F65</f>
        <v>1345.16025</v>
      </c>
    </row>
    <row r="66" spans="2:7" ht="11.25">
      <c r="B66" s="25">
        <v>56</v>
      </c>
      <c r="C66" s="7" t="s">
        <v>171</v>
      </c>
      <c r="D66" s="7" t="s">
        <v>172</v>
      </c>
      <c r="E66" s="12">
        <v>16.49216</v>
      </c>
      <c r="F66" s="14">
        <v>686.9245999999999</v>
      </c>
      <c r="G66" s="30">
        <f>E66*F66</f>
        <v>11328.870411135998</v>
      </c>
    </row>
    <row r="67" spans="2:7" ht="11.25">
      <c r="B67" s="25">
        <v>57</v>
      </c>
      <c r="C67" s="7" t="s">
        <v>173</v>
      </c>
      <c r="D67" s="7" t="s">
        <v>170</v>
      </c>
      <c r="E67" s="12">
        <v>1.32</v>
      </c>
      <c r="F67" s="14">
        <v>456.53319999999997</v>
      </c>
      <c r="G67" s="30">
        <f>E67*F67</f>
        <v>602.623824</v>
      </c>
    </row>
    <row r="68" spans="2:7" ht="11.25">
      <c r="B68" s="25">
        <v>58</v>
      </c>
      <c r="C68" s="7" t="s">
        <v>174</v>
      </c>
      <c r="D68" s="7" t="s">
        <v>172</v>
      </c>
      <c r="E68" s="12">
        <v>0.18104</v>
      </c>
      <c r="F68" s="14">
        <v>686.9245999999999</v>
      </c>
      <c r="G68" s="30">
        <f>E68*F68</f>
        <v>124.36082958399999</v>
      </c>
    </row>
    <row r="69" spans="2:7" ht="34.5">
      <c r="B69" s="25">
        <v>59</v>
      </c>
      <c r="C69" s="7" t="s">
        <v>175</v>
      </c>
      <c r="D69" s="7" t="s">
        <v>170</v>
      </c>
      <c r="E69" s="12">
        <v>5.94</v>
      </c>
      <c r="F69" s="14">
        <v>76.69200000000001</v>
      </c>
      <c r="G69" s="30">
        <f>E69*F69</f>
        <v>455.55048000000005</v>
      </c>
    </row>
    <row r="70" spans="2:7" ht="11.25">
      <c r="B70" s="50" t="s">
        <v>127</v>
      </c>
      <c r="C70" s="51"/>
      <c r="D70" s="51"/>
      <c r="E70" s="51"/>
      <c r="F70" s="52"/>
      <c r="G70" s="31">
        <f>SUM(G65:G69)</f>
        <v>13856.56579472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63:F63"/>
    <mergeCell ref="B64:G64"/>
    <mergeCell ref="B70:F70"/>
    <mergeCell ref="B1:G1"/>
    <mergeCell ref="B4:G4"/>
    <mergeCell ref="B28:F28"/>
    <mergeCell ref="B29:G29"/>
    <mergeCell ref="B51:F51"/>
    <mergeCell ref="B52:G52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Smeta</cp:lastModifiedBy>
  <dcterms:created xsi:type="dcterms:W3CDTF">2016-12-16T14:58:01Z</dcterms:created>
  <dcterms:modified xsi:type="dcterms:W3CDTF">2016-12-16T12:05:46Z</dcterms:modified>
  <cp:category>Test result file</cp:category>
  <cp:version/>
  <cp:contentType/>
  <cp:contentStatus/>
</cp:coreProperties>
</file>